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967582BF-5CA9-4780-A2FE-E71391021BF5}" xr6:coauthVersionLast="47" xr6:coauthVersionMax="47" xr10:uidLastSave="{00000000-0000-0000-0000-000000000000}"/>
  <workbookProtection workbookAlgorithmName="SHA-512" workbookHashValue="JJUD0s5jjQBA3OX2m9f1q1FADe8rT4ytZZeRlcsHg21Q7utNRFBAbl4AcLzpmAz8/x3ojqINlimovmZnz7eG9Q==" workbookSaltValue="agvmF8Y1CNnWhKV8uykagg==" workbookSpinCount="100000" lockStructure="1"/>
  <bookViews>
    <workbookView xWindow="-120" yWindow="-120" windowWidth="29040" windowHeight="15720" tabRatio="731" firstSheet="1" activeTab="1" xr2:uid="{3D654CF3-06ED-4DA0-B41D-5BE2C0DB6148}"/>
  </bookViews>
  <sheets>
    <sheet name="Variables" sheetId="38" state="hidden" r:id="rId1"/>
    <sheet name="Intro" sheetId="48" r:id="rId2"/>
    <sheet name="Info" sheetId="49" r:id="rId3"/>
    <sheet name="Public" sheetId="47" r:id="rId4"/>
    <sheet name="Grades|Nuances" sheetId="52" state="hidden" r:id="rId5"/>
    <sheet name="AddPub" sheetId="45" r:id="rId6"/>
    <sheet name="Pro 1" sheetId="37" r:id="rId7"/>
    <sheet name="Pro 2" sheetId="39" r:id="rId8"/>
    <sheet name="Pro 3" sheetId="42" r:id="rId9"/>
    <sheet name="Pro 4" sheetId="43" r:id="rId10"/>
    <sheet name="Projects - Projets" sheetId="53" r:id="rId11"/>
    <sheet name="AddPro" sheetId="44" r:id="rId12"/>
    <sheet name="Confirm" sheetId="46" r:id="rId13"/>
    <sheet name="MiniDB" sheetId="57" state="hidden" r:id="rId14"/>
    <sheet name="MiniDB2" sheetId="58" state="hidden" r:id="rId15"/>
    <sheet name="PublicDB" sheetId="59" state="hidden" r:id="rId16"/>
    <sheet name="PrjDB" sheetId="60" state="hidden" r:id="rId17"/>
    <sheet name="DataTab" sheetId="51" state="hidden" r:id="rId18"/>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17">#REF!</definedName>
    <definedName name="POR" localSheetId="4">#REF!</definedName>
    <definedName name="POR">#REF!</definedName>
    <definedName name="PORa">Variables!#REF!</definedName>
    <definedName name="PORDB">Variables!#REF!</definedName>
    <definedName name="PORL">#REF!</definedName>
    <definedName name="PORT">Variables!#REF!</definedName>
    <definedName name="PORX">#REF!</definedName>
    <definedName name="ppc">#REF!</definedName>
    <definedName name="_xlnm.Print_Area" localSheetId="11">AddPro!$B$1:$L$57</definedName>
    <definedName name="_xlnm.Print_Area" localSheetId="5">AddPub!$B$1:$L$57</definedName>
    <definedName name="_xlnm.Print_Area" localSheetId="12">Confirm!$B$1:$L$84</definedName>
    <definedName name="_xlnm.Print_Area" localSheetId="4">'Grades|Nuances'!$B$1:$L$41</definedName>
    <definedName name="_xlnm.Print_Area" localSheetId="2">Info!$B$1:$L$74</definedName>
    <definedName name="_xlnm.Print_Area" localSheetId="1">Intro!$B$1:$L$142</definedName>
    <definedName name="_xlnm.Print_Area" localSheetId="6">'Pro 1'!$B$1:$L$112</definedName>
    <definedName name="_xlnm.Print_Area" localSheetId="7">'Pro 2'!$B$1:$L$313</definedName>
    <definedName name="_xlnm.Print_Area" localSheetId="8">'Pro 3'!$B$1:$L$418</definedName>
    <definedName name="_xlnm.Print_Area" localSheetId="9">'Pro 4'!$B$1:$L$241</definedName>
    <definedName name="_xlnm.Print_Area" localSheetId="10">'Projects - Projets'!$B$1:$L$56</definedName>
    <definedName name="_xlnm.Print_Area" localSheetId="3">Public!$B$1:$L$489</definedName>
    <definedName name="_xlnm.Print_Titles" localSheetId="11">AddPro!$1:$7</definedName>
    <definedName name="_xlnm.Print_Titles" localSheetId="5">AddPub!$1:$7</definedName>
    <definedName name="_xlnm.Print_Titles" localSheetId="12">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10">'Projects - Projets'!$1:$7</definedName>
    <definedName name="_xlnm.Print_Titles" localSheetId="3">Public!$1:$7</definedName>
    <definedName name="quest8" localSheetId="11">AddPro!#REF!</definedName>
    <definedName name="quest8" localSheetId="5">AddPub!#REF!</definedName>
    <definedName name="quest8" localSheetId="12">Confirm!#REF!</definedName>
    <definedName name="quest8" localSheetId="17">#REF!</definedName>
    <definedName name="quest8" localSheetId="2">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10">'Projects - Projets'!#REF!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2" i="48" l="1"/>
  <c r="E142" i="48"/>
  <c r="B142" i="48"/>
  <c r="P256" i="47" l="1"/>
  <c r="B3" i="58" l="1"/>
  <c r="N3" i="60"/>
  <c r="N4" i="60"/>
  <c r="N5" i="60"/>
  <c r="N6" i="60"/>
  <c r="N7" i="60"/>
  <c r="N8" i="60"/>
  <c r="N9" i="60"/>
  <c r="N10" i="60"/>
  <c r="N11" i="60"/>
  <c r="N2" i="60"/>
  <c r="M11" i="60"/>
  <c r="L11" i="60"/>
  <c r="K11" i="60"/>
  <c r="J11" i="60"/>
  <c r="I11" i="60"/>
  <c r="H11" i="60"/>
  <c r="G11" i="60"/>
  <c r="F11" i="60"/>
  <c r="E11" i="60"/>
  <c r="D11" i="60"/>
  <c r="C11" i="60"/>
  <c r="M10" i="60"/>
  <c r="L10" i="60"/>
  <c r="K10" i="60"/>
  <c r="J10" i="60"/>
  <c r="I10" i="60"/>
  <c r="H10" i="60"/>
  <c r="G10" i="60"/>
  <c r="F10" i="60"/>
  <c r="E10" i="60"/>
  <c r="D10" i="60"/>
  <c r="C10" i="60"/>
  <c r="M9" i="60"/>
  <c r="L9" i="60"/>
  <c r="K9" i="60"/>
  <c r="J9" i="60"/>
  <c r="I9" i="60"/>
  <c r="H9" i="60"/>
  <c r="G9" i="60"/>
  <c r="F9" i="60"/>
  <c r="E9" i="60"/>
  <c r="D9" i="60"/>
  <c r="C9" i="60"/>
  <c r="M8" i="60"/>
  <c r="L8" i="60"/>
  <c r="K8" i="60"/>
  <c r="J8" i="60"/>
  <c r="I8" i="60"/>
  <c r="H8" i="60"/>
  <c r="G8" i="60"/>
  <c r="F8" i="60"/>
  <c r="E8" i="60"/>
  <c r="D8" i="60"/>
  <c r="C8" i="60"/>
  <c r="M7" i="60"/>
  <c r="L7" i="60"/>
  <c r="K7" i="60"/>
  <c r="J7" i="60"/>
  <c r="I7" i="60"/>
  <c r="H7" i="60"/>
  <c r="G7" i="60"/>
  <c r="F7" i="60"/>
  <c r="E7" i="60"/>
  <c r="D7" i="60"/>
  <c r="C7" i="60"/>
  <c r="M6" i="60"/>
  <c r="L6" i="60"/>
  <c r="K6" i="60"/>
  <c r="J6" i="60"/>
  <c r="I6" i="60"/>
  <c r="H6" i="60"/>
  <c r="G6" i="60"/>
  <c r="F6" i="60"/>
  <c r="E6" i="60"/>
  <c r="D6" i="60"/>
  <c r="C6" i="60"/>
  <c r="M5" i="60"/>
  <c r="L5" i="60"/>
  <c r="K5" i="60"/>
  <c r="J5" i="60"/>
  <c r="I5" i="60"/>
  <c r="H5" i="60"/>
  <c r="G5" i="60"/>
  <c r="F5" i="60"/>
  <c r="E5" i="60"/>
  <c r="D5" i="60"/>
  <c r="C5" i="60"/>
  <c r="M4" i="60"/>
  <c r="L4" i="60"/>
  <c r="K4" i="60"/>
  <c r="J4" i="60"/>
  <c r="I4" i="60"/>
  <c r="H4" i="60"/>
  <c r="G4" i="60"/>
  <c r="F4" i="60"/>
  <c r="E4" i="60"/>
  <c r="D4" i="60"/>
  <c r="C4" i="60"/>
  <c r="M3" i="60"/>
  <c r="L3" i="60"/>
  <c r="K3" i="60"/>
  <c r="J3" i="60"/>
  <c r="I3" i="60"/>
  <c r="H3" i="60"/>
  <c r="G3" i="60"/>
  <c r="F3" i="60"/>
  <c r="E3" i="60"/>
  <c r="D3" i="60"/>
  <c r="C3" i="60"/>
  <c r="M2" i="60"/>
  <c r="L2" i="60"/>
  <c r="K2" i="60"/>
  <c r="J2" i="60"/>
  <c r="I2" i="60"/>
  <c r="H2" i="60"/>
  <c r="G2" i="60"/>
  <c r="F2" i="60"/>
  <c r="E2" i="60"/>
  <c r="D2" i="60"/>
  <c r="C2" i="60"/>
  <c r="D91" i="59"/>
  <c r="C91" i="59"/>
  <c r="D90" i="59"/>
  <c r="C90" i="59"/>
  <c r="D89" i="59"/>
  <c r="C89" i="59"/>
  <c r="D88" i="59"/>
  <c r="C88" i="59"/>
  <c r="D87" i="59"/>
  <c r="C87" i="59"/>
  <c r="D45" i="59"/>
  <c r="C45" i="59"/>
  <c r="D44" i="59"/>
  <c r="C44" i="59"/>
  <c r="D43" i="59"/>
  <c r="C43" i="59"/>
  <c r="D42" i="59"/>
  <c r="C42" i="59"/>
  <c r="D41" i="59"/>
  <c r="C41" i="59"/>
  <c r="H82" i="57"/>
  <c r="G82" i="57"/>
  <c r="F82" i="57"/>
  <c r="E82" i="57"/>
  <c r="D82" i="57"/>
  <c r="H81" i="57"/>
  <c r="G81" i="57"/>
  <c r="F81" i="57"/>
  <c r="E81" i="57"/>
  <c r="D81" i="57"/>
  <c r="H80" i="57"/>
  <c r="G80" i="57"/>
  <c r="F80" i="57"/>
  <c r="E80" i="57"/>
  <c r="D80" i="57"/>
  <c r="H79" i="57"/>
  <c r="G79" i="57"/>
  <c r="F79" i="57"/>
  <c r="E79" i="57"/>
  <c r="D79" i="57"/>
  <c r="D38" i="59"/>
  <c r="D37" i="59"/>
  <c r="D36" i="59"/>
  <c r="D35" i="59"/>
  <c r="D34" i="59"/>
  <c r="D33" i="59"/>
  <c r="D32" i="59"/>
  <c r="D31" i="59"/>
  <c r="D30" i="59"/>
  <c r="D29" i="59"/>
  <c r="D28" i="59"/>
  <c r="D27" i="59"/>
  <c r="D26" i="59"/>
  <c r="D25" i="59"/>
  <c r="D24" i="59"/>
  <c r="D23" i="59"/>
  <c r="D22" i="59"/>
  <c r="D21" i="59"/>
  <c r="D20" i="59"/>
  <c r="D19" i="59"/>
  <c r="D18" i="59"/>
  <c r="D17" i="59"/>
  <c r="D16" i="59"/>
  <c r="D15" i="59"/>
  <c r="D14" i="59"/>
  <c r="D13" i="59"/>
  <c r="D12" i="59"/>
  <c r="D11" i="59"/>
  <c r="D10" i="59"/>
  <c r="D9" i="59"/>
  <c r="D8" i="59"/>
  <c r="D7" i="59"/>
  <c r="D6" i="59"/>
  <c r="D5" i="59"/>
  <c r="D4" i="59"/>
  <c r="D3" i="59"/>
  <c r="K46" i="57"/>
  <c r="K45" i="57"/>
  <c r="K44" i="57"/>
  <c r="D103" i="59"/>
  <c r="C103" i="59"/>
  <c r="D102" i="59"/>
  <c r="C102" i="59"/>
  <c r="D101" i="59"/>
  <c r="C101" i="59"/>
  <c r="D100" i="59"/>
  <c r="C100" i="59"/>
  <c r="D99" i="59"/>
  <c r="C99" i="59"/>
  <c r="D98" i="59"/>
  <c r="C98" i="59"/>
  <c r="D97" i="59"/>
  <c r="C97" i="59"/>
  <c r="D96" i="59"/>
  <c r="C96" i="59"/>
  <c r="D95" i="59"/>
  <c r="C95" i="59"/>
  <c r="D94" i="59"/>
  <c r="C94" i="59"/>
  <c r="D93" i="59"/>
  <c r="C93" i="59"/>
  <c r="V41" i="57"/>
  <c r="U41" i="57"/>
  <c r="T41" i="57"/>
  <c r="S41" i="57"/>
  <c r="R41" i="57"/>
  <c r="Q41" i="57"/>
  <c r="P41" i="57"/>
  <c r="O41" i="57"/>
  <c r="N41" i="57"/>
  <c r="M41" i="57"/>
  <c r="L41" i="57"/>
  <c r="K41" i="57"/>
  <c r="D65" i="59"/>
  <c r="D64" i="59"/>
  <c r="D63" i="59"/>
  <c r="D62" i="59"/>
  <c r="D61" i="59"/>
  <c r="D60" i="59"/>
  <c r="D59" i="59"/>
  <c r="D58" i="59"/>
  <c r="D57" i="59"/>
  <c r="D56" i="59"/>
  <c r="D55" i="59"/>
  <c r="U31" i="58"/>
  <c r="T31" i="58"/>
  <c r="S31" i="58"/>
  <c r="R31" i="58"/>
  <c r="Q31" i="58"/>
  <c r="P31" i="58"/>
  <c r="O31" i="58"/>
  <c r="N31" i="58"/>
  <c r="M31" i="58"/>
  <c r="L31" i="58"/>
  <c r="K31" i="58"/>
  <c r="J31" i="58"/>
  <c r="I31" i="58"/>
  <c r="H31" i="58"/>
  <c r="G31" i="58"/>
  <c r="F31" i="58"/>
  <c r="U29" i="58"/>
  <c r="T29" i="58"/>
  <c r="S29" i="58"/>
  <c r="R29" i="58"/>
  <c r="Q29" i="58"/>
  <c r="P29" i="58"/>
  <c r="O29" i="58"/>
  <c r="N29" i="58"/>
  <c r="M29" i="58"/>
  <c r="L29" i="58"/>
  <c r="K29" i="58"/>
  <c r="J29" i="58"/>
  <c r="Z29" i="58" s="1"/>
  <c r="I29" i="58"/>
  <c r="H29" i="58"/>
  <c r="G29" i="58"/>
  <c r="W29" i="58" s="1"/>
  <c r="F29" i="58"/>
  <c r="E29" i="58"/>
  <c r="U28" i="58"/>
  <c r="T28" i="58"/>
  <c r="S28" i="58"/>
  <c r="R28" i="58"/>
  <c r="Z28" i="58" s="1"/>
  <c r="Q28" i="58"/>
  <c r="Y28" i="58" s="1"/>
  <c r="P28" i="58"/>
  <c r="X28" i="58" s="1"/>
  <c r="O28" i="58"/>
  <c r="N28" i="58"/>
  <c r="M28" i="58"/>
  <c r="L28" i="58"/>
  <c r="AB28" i="58" s="1"/>
  <c r="K28" i="58"/>
  <c r="J28" i="58"/>
  <c r="I28" i="58"/>
  <c r="H28" i="58"/>
  <c r="G28" i="58"/>
  <c r="F28" i="58"/>
  <c r="E28" i="58"/>
  <c r="U27" i="58"/>
  <c r="T27" i="58"/>
  <c r="S27" i="58"/>
  <c r="R27" i="58"/>
  <c r="Q27" i="58"/>
  <c r="P27" i="58"/>
  <c r="X27" i="58" s="1"/>
  <c r="O27" i="58"/>
  <c r="N27" i="58"/>
  <c r="M27" i="58"/>
  <c r="L27" i="58"/>
  <c r="K27" i="58"/>
  <c r="J27" i="58"/>
  <c r="I27" i="58"/>
  <c r="H27" i="58"/>
  <c r="G27" i="58"/>
  <c r="W27" i="58" s="1"/>
  <c r="F27" i="58"/>
  <c r="E27" i="58"/>
  <c r="U26" i="58"/>
  <c r="T26" i="58"/>
  <c r="S26" i="58"/>
  <c r="R26" i="58"/>
  <c r="Z26" i="58" s="1"/>
  <c r="Q26" i="58"/>
  <c r="Q30" i="58" s="1"/>
  <c r="P26" i="58"/>
  <c r="X26" i="58" s="1"/>
  <c r="O26" i="58"/>
  <c r="N26" i="58"/>
  <c r="M26" i="58"/>
  <c r="M30" i="58" s="1"/>
  <c r="M32" i="58" s="1"/>
  <c r="L26" i="58"/>
  <c r="K26" i="58"/>
  <c r="J26" i="58"/>
  <c r="I26" i="58"/>
  <c r="H26" i="58"/>
  <c r="G26" i="58"/>
  <c r="F26" i="58"/>
  <c r="E26" i="58"/>
  <c r="U25" i="58"/>
  <c r="T25" i="58"/>
  <c r="S25" i="58"/>
  <c r="R25" i="58"/>
  <c r="Q25" i="58"/>
  <c r="P25" i="58"/>
  <c r="O25" i="58"/>
  <c r="N25" i="58"/>
  <c r="M25" i="58"/>
  <c r="AC25" i="58" s="1"/>
  <c r="L25" i="58"/>
  <c r="AB25" i="58" s="1"/>
  <c r="K25" i="58"/>
  <c r="J25" i="58"/>
  <c r="J30" i="58" s="1"/>
  <c r="J32" i="58" s="1"/>
  <c r="I25" i="58"/>
  <c r="I30" i="58" s="1"/>
  <c r="H25" i="58"/>
  <c r="H30" i="58" s="1"/>
  <c r="G25" i="58"/>
  <c r="G30" i="58" s="1"/>
  <c r="F25" i="58"/>
  <c r="E25" i="58"/>
  <c r="U19" i="58"/>
  <c r="T19" i="58"/>
  <c r="S19" i="58"/>
  <c r="R19" i="58"/>
  <c r="Q19" i="58"/>
  <c r="P19" i="58"/>
  <c r="O19" i="58"/>
  <c r="N19" i="58"/>
  <c r="M19" i="58"/>
  <c r="L19" i="58"/>
  <c r="K19" i="58"/>
  <c r="J19" i="58"/>
  <c r="I19" i="58"/>
  <c r="H19" i="58"/>
  <c r="G19" i="58"/>
  <c r="F19" i="58"/>
  <c r="U17" i="58"/>
  <c r="T17" i="58"/>
  <c r="S17" i="58"/>
  <c r="AA17" i="58" s="1"/>
  <c r="R17" i="58"/>
  <c r="Z17" i="58" s="1"/>
  <c r="Q17" i="58"/>
  <c r="Y17" i="58" s="1"/>
  <c r="P17" i="58"/>
  <c r="X17" i="58" s="1"/>
  <c r="O17" i="58"/>
  <c r="N17" i="58"/>
  <c r="M17" i="58"/>
  <c r="AC17" i="58" s="1"/>
  <c r="L17" i="58"/>
  <c r="AB17" i="58" s="1"/>
  <c r="K17" i="58"/>
  <c r="J17" i="58"/>
  <c r="I17" i="58"/>
  <c r="H17" i="58"/>
  <c r="G17" i="58"/>
  <c r="F17" i="58"/>
  <c r="U16" i="58"/>
  <c r="T16" i="58"/>
  <c r="AB16" i="58" s="1"/>
  <c r="S16" i="58"/>
  <c r="R16" i="58"/>
  <c r="Q16" i="58"/>
  <c r="P16" i="58"/>
  <c r="O16" i="58"/>
  <c r="N16" i="58"/>
  <c r="M16" i="58"/>
  <c r="L16" i="58"/>
  <c r="K16" i="58"/>
  <c r="AA16" i="58" s="1"/>
  <c r="J16" i="58"/>
  <c r="I16" i="58"/>
  <c r="H16" i="58"/>
  <c r="G16" i="58"/>
  <c r="F16" i="58"/>
  <c r="U15" i="58"/>
  <c r="T15" i="58"/>
  <c r="S15" i="58"/>
  <c r="AA15" i="58" s="1"/>
  <c r="R15" i="58"/>
  <c r="Q15" i="58"/>
  <c r="P15" i="58"/>
  <c r="O15" i="58"/>
  <c r="N15" i="58"/>
  <c r="M15" i="58"/>
  <c r="M18" i="58" s="1"/>
  <c r="M20" i="58" s="1"/>
  <c r="L15" i="58"/>
  <c r="L18" i="58" s="1"/>
  <c r="L20" i="58" s="1"/>
  <c r="K15" i="58"/>
  <c r="J15" i="58"/>
  <c r="I15" i="58"/>
  <c r="H15" i="58"/>
  <c r="G15" i="58"/>
  <c r="F15" i="58"/>
  <c r="O8" i="58"/>
  <c r="N8" i="58"/>
  <c r="M8" i="58"/>
  <c r="L8" i="58"/>
  <c r="K8" i="58"/>
  <c r="O7" i="58"/>
  <c r="N7" i="58"/>
  <c r="M7" i="58"/>
  <c r="L7" i="58"/>
  <c r="K7" i="58"/>
  <c r="O6" i="58"/>
  <c r="N6" i="58"/>
  <c r="M6" i="58"/>
  <c r="L6" i="58"/>
  <c r="K6" i="58"/>
  <c r="O5" i="58"/>
  <c r="N5" i="58"/>
  <c r="M5" i="58"/>
  <c r="L5" i="58"/>
  <c r="K5" i="58"/>
  <c r="O4" i="58"/>
  <c r="N4" i="58"/>
  <c r="M4" i="58"/>
  <c r="L4" i="58"/>
  <c r="K4" i="58"/>
  <c r="M2" i="58"/>
  <c r="H2" i="58" s="1"/>
  <c r="L2" i="58"/>
  <c r="G2" i="58" s="1"/>
  <c r="K2" i="58"/>
  <c r="H16" i="57"/>
  <c r="J9" i="58" s="1"/>
  <c r="G16" i="57"/>
  <c r="I9" i="58" s="1"/>
  <c r="I4" i="58" s="1"/>
  <c r="F16" i="57"/>
  <c r="H9" i="58" s="1"/>
  <c r="E16" i="57"/>
  <c r="G9" i="58" s="1"/>
  <c r="G4" i="58" s="1"/>
  <c r="D16" i="57"/>
  <c r="I17" i="57" s="1"/>
  <c r="D75" i="57"/>
  <c r="D71" i="57"/>
  <c r="M68" i="57"/>
  <c r="L68" i="57"/>
  <c r="Q68" i="57" s="1"/>
  <c r="K68" i="57"/>
  <c r="J68" i="57"/>
  <c r="O68" i="57" s="1"/>
  <c r="I68" i="57"/>
  <c r="N68" i="57" s="1"/>
  <c r="H68" i="57"/>
  <c r="G68" i="57"/>
  <c r="F68" i="57"/>
  <c r="P68" i="57" s="1"/>
  <c r="E68" i="57"/>
  <c r="D68" i="57"/>
  <c r="M67" i="57"/>
  <c r="D74" i="57" s="1"/>
  <c r="D76" i="57" s="1"/>
  <c r="L67" i="57"/>
  <c r="K67" i="57"/>
  <c r="J67" i="57"/>
  <c r="I67" i="57"/>
  <c r="H67" i="57"/>
  <c r="G67" i="57"/>
  <c r="F67" i="57"/>
  <c r="E67" i="57"/>
  <c r="D67" i="57"/>
  <c r="N67" i="57" s="1"/>
  <c r="H58" i="57"/>
  <c r="G58" i="57"/>
  <c r="F58" i="57"/>
  <c r="E58" i="57"/>
  <c r="D58" i="57"/>
  <c r="H57" i="57"/>
  <c r="G57" i="57"/>
  <c r="F57" i="57"/>
  <c r="E57" i="57"/>
  <c r="D57" i="57"/>
  <c r="H46" i="57"/>
  <c r="G46" i="57"/>
  <c r="F46" i="57"/>
  <c r="E46" i="57"/>
  <c r="D46" i="57"/>
  <c r="P16" i="57"/>
  <c r="O16" i="57"/>
  <c r="N16" i="57"/>
  <c r="M16" i="57"/>
  <c r="L16" i="57"/>
  <c r="D84" i="59"/>
  <c r="D83" i="59"/>
  <c r="D82" i="59"/>
  <c r="D81" i="59"/>
  <c r="D80" i="59"/>
  <c r="D79" i="59"/>
  <c r="D78" i="59"/>
  <c r="D77" i="59"/>
  <c r="D76" i="59"/>
  <c r="D75" i="59"/>
  <c r="D74" i="59"/>
  <c r="D73" i="59"/>
  <c r="D72" i="59"/>
  <c r="D71" i="59"/>
  <c r="D70" i="59"/>
  <c r="D69" i="59"/>
  <c r="D68" i="59"/>
  <c r="I61" i="57"/>
  <c r="H61" i="57"/>
  <c r="G61" i="57"/>
  <c r="F61" i="57"/>
  <c r="E61" i="57"/>
  <c r="D61" i="57"/>
  <c r="Q57" i="57"/>
  <c r="P57" i="57"/>
  <c r="O57" i="57"/>
  <c r="N57" i="57"/>
  <c r="M57" i="57"/>
  <c r="Q56" i="57"/>
  <c r="P56" i="57"/>
  <c r="O56" i="57"/>
  <c r="N56" i="57"/>
  <c r="M56" i="57"/>
  <c r="Q55" i="57"/>
  <c r="P55" i="57"/>
  <c r="O55" i="57"/>
  <c r="N55" i="57"/>
  <c r="M55" i="57"/>
  <c r="Q54" i="57"/>
  <c r="P54" i="57"/>
  <c r="O54" i="57"/>
  <c r="N54" i="57"/>
  <c r="M54" i="57"/>
  <c r="H55" i="57"/>
  <c r="G55" i="57"/>
  <c r="F55" i="57"/>
  <c r="E55" i="57"/>
  <c r="D55" i="57"/>
  <c r="H54" i="57"/>
  <c r="G54" i="57"/>
  <c r="F54" i="57"/>
  <c r="E54" i="57"/>
  <c r="D54" i="57"/>
  <c r="H52" i="57"/>
  <c r="G52" i="57"/>
  <c r="F52" i="57"/>
  <c r="E52" i="57"/>
  <c r="D52" i="57"/>
  <c r="H51" i="57"/>
  <c r="G51" i="57"/>
  <c r="F51" i="57"/>
  <c r="E51" i="57"/>
  <c r="D51" i="57"/>
  <c r="H49" i="57"/>
  <c r="G49" i="57"/>
  <c r="F49" i="57"/>
  <c r="E49" i="57"/>
  <c r="D49" i="57"/>
  <c r="H48" i="57"/>
  <c r="G48" i="57"/>
  <c r="F48" i="57"/>
  <c r="E48" i="57"/>
  <c r="D48" i="57"/>
  <c r="Q47" i="57"/>
  <c r="P47" i="57"/>
  <c r="O47" i="57"/>
  <c r="N47" i="57"/>
  <c r="M47" i="57"/>
  <c r="Q46" i="57"/>
  <c r="P46" i="57"/>
  <c r="O46" i="57"/>
  <c r="N46" i="57"/>
  <c r="M46" i="57"/>
  <c r="Q45" i="57"/>
  <c r="P45" i="57"/>
  <c r="O45" i="57"/>
  <c r="N45" i="57"/>
  <c r="M45" i="57"/>
  <c r="Q44" i="57"/>
  <c r="P44" i="57"/>
  <c r="O44" i="57"/>
  <c r="N44" i="57"/>
  <c r="M44" i="57"/>
  <c r="I41" i="57"/>
  <c r="P27" i="57"/>
  <c r="O27" i="57"/>
  <c r="N27" i="57"/>
  <c r="M27" i="57"/>
  <c r="L27" i="57"/>
  <c r="P26" i="57"/>
  <c r="O26" i="57"/>
  <c r="N26" i="57"/>
  <c r="M26" i="57"/>
  <c r="L26" i="57"/>
  <c r="P25" i="57"/>
  <c r="O25" i="57"/>
  <c r="N25" i="57"/>
  <c r="M25" i="57"/>
  <c r="L25" i="57"/>
  <c r="P22" i="57"/>
  <c r="O22" i="57"/>
  <c r="N22" i="57"/>
  <c r="M22" i="57"/>
  <c r="L22" i="57"/>
  <c r="P20" i="57"/>
  <c r="O20" i="57"/>
  <c r="N20" i="57"/>
  <c r="M20" i="57"/>
  <c r="L20" i="57"/>
  <c r="P19" i="57"/>
  <c r="O19" i="57"/>
  <c r="N19" i="57"/>
  <c r="M19" i="57"/>
  <c r="L19" i="57"/>
  <c r="Q16" i="57"/>
  <c r="P14" i="57"/>
  <c r="O14" i="57"/>
  <c r="N14" i="57"/>
  <c r="M14" i="57"/>
  <c r="L14" i="57"/>
  <c r="P13" i="57"/>
  <c r="O13" i="57"/>
  <c r="N13" i="57"/>
  <c r="M13" i="57"/>
  <c r="L13" i="57"/>
  <c r="P12" i="57"/>
  <c r="O12" i="57"/>
  <c r="N12" i="57"/>
  <c r="M12" i="57"/>
  <c r="L12" i="57"/>
  <c r="P11" i="57"/>
  <c r="O11" i="57"/>
  <c r="N11" i="57"/>
  <c r="M11" i="57"/>
  <c r="L11" i="57"/>
  <c r="P10" i="57"/>
  <c r="O10" i="57"/>
  <c r="N10" i="57"/>
  <c r="M10" i="57"/>
  <c r="L10" i="57"/>
  <c r="H35" i="57"/>
  <c r="G35" i="57"/>
  <c r="F35" i="57"/>
  <c r="E35" i="57"/>
  <c r="D35" i="57"/>
  <c r="H34" i="57"/>
  <c r="G34" i="57"/>
  <c r="F34" i="57"/>
  <c r="E34" i="57"/>
  <c r="D34" i="57"/>
  <c r="H33" i="57"/>
  <c r="G33" i="57"/>
  <c r="F33" i="57"/>
  <c r="E33" i="57"/>
  <c r="D33" i="57"/>
  <c r="H31" i="57"/>
  <c r="G31" i="57"/>
  <c r="F31" i="57"/>
  <c r="E31" i="57"/>
  <c r="D31" i="57"/>
  <c r="H30" i="57"/>
  <c r="G30" i="57"/>
  <c r="F30" i="57"/>
  <c r="E30" i="57"/>
  <c r="D30" i="57"/>
  <c r="H27" i="57"/>
  <c r="G27" i="57"/>
  <c r="F27" i="57"/>
  <c r="E27" i="57"/>
  <c r="D27" i="57"/>
  <c r="H26" i="57"/>
  <c r="G26" i="57"/>
  <c r="F26" i="57"/>
  <c r="E26" i="57"/>
  <c r="D26" i="57"/>
  <c r="H25" i="57"/>
  <c r="G25" i="57"/>
  <c r="F25" i="57"/>
  <c r="E25" i="57"/>
  <c r="D25" i="57"/>
  <c r="H22" i="57"/>
  <c r="G22" i="57"/>
  <c r="F22" i="57"/>
  <c r="E22" i="57"/>
  <c r="D22" i="57"/>
  <c r="H20" i="57"/>
  <c r="G20" i="57"/>
  <c r="F20" i="57"/>
  <c r="E20" i="57"/>
  <c r="D20" i="57"/>
  <c r="H19" i="57"/>
  <c r="G19" i="57"/>
  <c r="F19" i="57"/>
  <c r="E19" i="57"/>
  <c r="D19" i="57"/>
  <c r="I16" i="57"/>
  <c r="H14" i="57"/>
  <c r="G14" i="57"/>
  <c r="F14" i="57"/>
  <c r="E14" i="57"/>
  <c r="D14" i="57"/>
  <c r="H13" i="57"/>
  <c r="G13" i="57"/>
  <c r="F13" i="57"/>
  <c r="E13" i="57"/>
  <c r="D13" i="57"/>
  <c r="H12" i="57"/>
  <c r="G12" i="57"/>
  <c r="F12" i="57"/>
  <c r="E12" i="57"/>
  <c r="D12" i="57"/>
  <c r="H11" i="57"/>
  <c r="G11" i="57"/>
  <c r="F11" i="57"/>
  <c r="E11" i="57"/>
  <c r="D11" i="57"/>
  <c r="H10" i="57"/>
  <c r="G10" i="57"/>
  <c r="F10" i="57"/>
  <c r="E10" i="57"/>
  <c r="D10" i="57"/>
  <c r="D52" i="59"/>
  <c r="D51" i="59"/>
  <c r="D50" i="59"/>
  <c r="D49" i="59"/>
  <c r="D48" i="59"/>
  <c r="D47" i="59"/>
  <c r="H44" i="57"/>
  <c r="G44" i="57"/>
  <c r="F44" i="57"/>
  <c r="E44" i="57"/>
  <c r="D44" i="57"/>
  <c r="H42" i="57"/>
  <c r="G42" i="57"/>
  <c r="F42" i="57"/>
  <c r="E42" i="57"/>
  <c r="D42" i="57"/>
  <c r="I40" i="57"/>
  <c r="I42" i="57" s="1"/>
  <c r="I44" i="57" s="1"/>
  <c r="H40" i="57"/>
  <c r="G40" i="57"/>
  <c r="F40" i="57"/>
  <c r="E40" i="57"/>
  <c r="D40" i="57"/>
  <c r="I43" i="57" s="1"/>
  <c r="Q7" i="57"/>
  <c r="P7" i="57"/>
  <c r="O7" i="57"/>
  <c r="Q8" i="57" s="1" a="1"/>
  <c r="Q8" i="57" s="1"/>
  <c r="Q9" i="57" s="1"/>
  <c r="N7" i="57"/>
  <c r="M7" i="57"/>
  <c r="L7" i="57"/>
  <c r="I7" i="57"/>
  <c r="H7" i="57"/>
  <c r="G7" i="57"/>
  <c r="F7" i="57"/>
  <c r="E7" i="57"/>
  <c r="D7" i="57"/>
  <c r="F6" i="57"/>
  <c r="N6" i="57" s="1"/>
  <c r="E6" i="57"/>
  <c r="E39" i="57" s="1"/>
  <c r="D6" i="57"/>
  <c r="A2" i="60"/>
  <c r="A3" i="60" s="1"/>
  <c r="A4" i="60" s="1"/>
  <c r="A5" i="60" s="1"/>
  <c r="A6" i="60" s="1"/>
  <c r="A7" i="60" s="1"/>
  <c r="A8" i="60" s="1"/>
  <c r="A9" i="60" s="1"/>
  <c r="A10" i="60" s="1"/>
  <c r="A11" i="60" s="1"/>
  <c r="A2" i="59"/>
  <c r="D2" i="57"/>
  <c r="C2" i="57"/>
  <c r="A3" i="59"/>
  <c r="A4" i="59" s="1"/>
  <c r="A5" i="59" s="1"/>
  <c r="A6" i="59" s="1"/>
  <c r="A7" i="59" s="1"/>
  <c r="A8" i="59" s="1"/>
  <c r="A9" i="59" s="1"/>
  <c r="A10" i="59" s="1"/>
  <c r="A11" i="59" s="1"/>
  <c r="A12" i="59" s="1"/>
  <c r="A13" i="59" s="1"/>
  <c r="A14" i="59" s="1"/>
  <c r="A15" i="59" s="1"/>
  <c r="A16" i="59" s="1"/>
  <c r="A17" i="59" s="1"/>
  <c r="A18" i="59" s="1"/>
  <c r="A19" i="59" s="1"/>
  <c r="A20" i="59" s="1"/>
  <c r="A21" i="59" s="1"/>
  <c r="A22" i="59" s="1"/>
  <c r="A23" i="59" s="1"/>
  <c r="A24" i="59" s="1"/>
  <c r="A25" i="59" s="1"/>
  <c r="A26" i="59" s="1"/>
  <c r="A27" i="59" s="1"/>
  <c r="A28" i="59" s="1"/>
  <c r="A29" i="59" s="1"/>
  <c r="A30" i="59" s="1"/>
  <c r="A31" i="59" s="1"/>
  <c r="A32" i="59" s="1"/>
  <c r="A33" i="59" s="1"/>
  <c r="A34" i="59" s="1"/>
  <c r="A35" i="59" s="1"/>
  <c r="A36" i="59" s="1"/>
  <c r="A37" i="59" s="1"/>
  <c r="A38" i="59" s="1"/>
  <c r="A39" i="59" s="1"/>
  <c r="A40" i="59" s="1"/>
  <c r="A41" i="59" s="1"/>
  <c r="A42" i="59" s="1"/>
  <c r="A43" i="59" s="1"/>
  <c r="A44" i="59" s="1"/>
  <c r="A45" i="59" s="1"/>
  <c r="A46" i="59" s="1"/>
  <c r="A47" i="59" s="1"/>
  <c r="A48" i="59" s="1"/>
  <c r="A49" i="59" s="1"/>
  <c r="A50" i="59" s="1"/>
  <c r="A51" i="59" s="1"/>
  <c r="A52" i="59" s="1"/>
  <c r="A53" i="59" s="1"/>
  <c r="A54" i="59" s="1"/>
  <c r="A55" i="59" s="1"/>
  <c r="A56" i="59" s="1"/>
  <c r="A57" i="59" s="1"/>
  <c r="A58" i="59" s="1"/>
  <c r="A59" i="59" s="1"/>
  <c r="A60" i="59" s="1"/>
  <c r="A61" i="59" s="1"/>
  <c r="A62" i="59" s="1"/>
  <c r="A63" i="59" s="1"/>
  <c r="A64" i="59" s="1"/>
  <c r="A65" i="59" s="1"/>
  <c r="A66" i="59" s="1"/>
  <c r="A67" i="59" s="1"/>
  <c r="A68" i="59" s="1"/>
  <c r="A69" i="59" s="1"/>
  <c r="A70" i="59" s="1"/>
  <c r="A71" i="59" s="1"/>
  <c r="A72" i="59" s="1"/>
  <c r="A73" i="59" s="1"/>
  <c r="A74" i="59" s="1"/>
  <c r="A75" i="59" s="1"/>
  <c r="A76" i="59" s="1"/>
  <c r="A77" i="59" s="1"/>
  <c r="A78" i="59" s="1"/>
  <c r="A79" i="59" s="1"/>
  <c r="A80" i="59" s="1"/>
  <c r="A81" i="59" s="1"/>
  <c r="A82" i="59" s="1"/>
  <c r="A83" i="59" s="1"/>
  <c r="A84" i="59" s="1"/>
  <c r="A85" i="59" s="1"/>
  <c r="A86" i="59" s="1"/>
  <c r="A87" i="59" s="1"/>
  <c r="A88" i="59" s="1"/>
  <c r="A89" i="59" s="1"/>
  <c r="A90" i="59" s="1"/>
  <c r="A91" i="59" s="1"/>
  <c r="A92" i="59" s="1"/>
  <c r="A93" i="59" s="1"/>
  <c r="A94" i="59" s="1"/>
  <c r="A95" i="59" s="1"/>
  <c r="A96" i="59" s="1"/>
  <c r="A97" i="59" s="1"/>
  <c r="A98" i="59" s="1"/>
  <c r="A99" i="59" s="1"/>
  <c r="A100" i="59" s="1"/>
  <c r="A101" i="59" s="1"/>
  <c r="A102" i="59" s="1"/>
  <c r="A103" i="59" s="1"/>
  <c r="AC29" i="58"/>
  <c r="T30" i="58"/>
  <c r="Y29" i="58"/>
  <c r="W28" i="58"/>
  <c r="AC28" i="58"/>
  <c r="Y27" i="58"/>
  <c r="V27" i="58"/>
  <c r="C26" i="58"/>
  <c r="C27" i="58" s="1"/>
  <c r="C28" i="58" s="1"/>
  <c r="C29" i="58" s="1"/>
  <c r="B26" i="58"/>
  <c r="B27" i="58" s="1"/>
  <c r="B28" i="58" s="1"/>
  <c r="B29" i="58" s="1"/>
  <c r="O24" i="58"/>
  <c r="P24" i="58" s="1"/>
  <c r="Q24" i="58" s="1"/>
  <c r="R24" i="58" s="1"/>
  <c r="S24" i="58" s="1"/>
  <c r="T24" i="58" s="1"/>
  <c r="U24" i="58" s="1"/>
  <c r="D17" i="58"/>
  <c r="C17" i="58"/>
  <c r="D16" i="58"/>
  <c r="C16" i="58"/>
  <c r="B16" i="58"/>
  <c r="B17" i="58" s="1"/>
  <c r="O14" i="58"/>
  <c r="P14" i="58" s="1"/>
  <c r="Q14" i="58" s="1"/>
  <c r="R14" i="58" s="1"/>
  <c r="S14" i="58" s="1"/>
  <c r="T14" i="58" s="1"/>
  <c r="U14" i="58" s="1"/>
  <c r="F2" i="58"/>
  <c r="Q67" i="57"/>
  <c r="K56" i="57"/>
  <c r="M59" i="57"/>
  <c r="K55" i="57"/>
  <c r="K54" i="57"/>
  <c r="K27" i="57"/>
  <c r="K26" i="57"/>
  <c r="K25" i="57"/>
  <c r="K22" i="57"/>
  <c r="K20" i="57"/>
  <c r="K19" i="57"/>
  <c r="K16" i="57"/>
  <c r="K14" i="57"/>
  <c r="K13" i="57"/>
  <c r="K12" i="57"/>
  <c r="M60" i="57"/>
  <c r="K11" i="57"/>
  <c r="K10" i="57"/>
  <c r="K7" i="57"/>
  <c r="D39" i="57"/>
  <c r="E2" i="57"/>
  <c r="M50" i="57" l="1"/>
  <c r="Y16" i="58"/>
  <c r="G32" i="58"/>
  <c r="AA25" i="58"/>
  <c r="S30" i="58"/>
  <c r="S32" i="58" s="1"/>
  <c r="Z15" i="58"/>
  <c r="V16" i="58"/>
  <c r="V17" i="58"/>
  <c r="H32" i="58"/>
  <c r="V26" i="58"/>
  <c r="AB27" i="58"/>
  <c r="V28" i="58"/>
  <c r="X29" i="58"/>
  <c r="AA27" i="58"/>
  <c r="T32" i="58"/>
  <c r="W17" i="58"/>
  <c r="I32" i="58"/>
  <c r="W26" i="58"/>
  <c r="AC27" i="58"/>
  <c r="AB26" i="58"/>
  <c r="O30" i="58"/>
  <c r="O32" i="58" s="1"/>
  <c r="O18" i="58"/>
  <c r="O20" i="58" s="1"/>
  <c r="AA26" i="58"/>
  <c r="AA28" i="58"/>
  <c r="F30" i="58"/>
  <c r="F32" i="58" s="1"/>
  <c r="Z25" i="58"/>
  <c r="L30" i="58"/>
  <c r="L32" i="58" s="1"/>
  <c r="Z27" i="58"/>
  <c r="J6" i="58"/>
  <c r="J5" i="58"/>
  <c r="D70" i="57"/>
  <c r="D72" i="57" s="1"/>
  <c r="W16" i="58"/>
  <c r="F39" i="57"/>
  <c r="R67" i="57"/>
  <c r="K30" i="58"/>
  <c r="K32" i="58" s="1"/>
  <c r="Q32" i="58"/>
  <c r="M43" i="57"/>
  <c r="M53" i="57" s="1"/>
  <c r="D60" i="57"/>
  <c r="D65" i="57"/>
  <c r="M61" i="57"/>
  <c r="N18" i="58"/>
  <c r="N20" i="58" s="1"/>
  <c r="V15" i="58"/>
  <c r="E65" i="57"/>
  <c r="E60" i="57"/>
  <c r="N43" i="57"/>
  <c r="N53" i="57" s="1"/>
  <c r="P18" i="58"/>
  <c r="P20" i="58" s="1"/>
  <c r="X16" i="58"/>
  <c r="J7" i="58"/>
  <c r="K18" i="58"/>
  <c r="K20" i="58" s="1"/>
  <c r="Q17" i="57"/>
  <c r="Q18" i="57" s="1"/>
  <c r="O67" i="57"/>
  <c r="A25" i="58"/>
  <c r="A26" i="58" s="1"/>
  <c r="A27" i="58" s="1"/>
  <c r="A28" i="58" s="1"/>
  <c r="A29" i="58" s="1"/>
  <c r="N30" i="58"/>
  <c r="N32" i="58" s="1"/>
  <c r="V25" i="58"/>
  <c r="L6" i="57"/>
  <c r="P67" i="57"/>
  <c r="I7" i="58"/>
  <c r="I8" i="58"/>
  <c r="I6" i="58"/>
  <c r="H18" i="58"/>
  <c r="H20" i="58" s="1"/>
  <c r="T18" i="58"/>
  <c r="T20" i="58" s="1"/>
  <c r="AB15" i="58"/>
  <c r="P30" i="58"/>
  <c r="P32" i="58" s="1"/>
  <c r="F60" i="57"/>
  <c r="G60" i="57" s="1"/>
  <c r="H60" i="57" s="1"/>
  <c r="I60" i="57" s="1"/>
  <c r="AC16" i="58"/>
  <c r="U18" i="58"/>
  <c r="U20" i="58" s="1"/>
  <c r="Y26" i="58"/>
  <c r="R30" i="58"/>
  <c r="R32" i="58" s="1"/>
  <c r="H6" i="58"/>
  <c r="H7" i="58"/>
  <c r="H8" i="58"/>
  <c r="U30" i="58"/>
  <c r="U32" i="58" s="1"/>
  <c r="AC26" i="58"/>
  <c r="AC15" i="58"/>
  <c r="J8" i="58"/>
  <c r="J4" i="58"/>
  <c r="H4" i="58"/>
  <c r="I18" i="57"/>
  <c r="Q18" i="58"/>
  <c r="Q20" i="58" s="1"/>
  <c r="F9" i="58"/>
  <c r="M6" i="57"/>
  <c r="M49" i="57"/>
  <c r="M51" i="57" s="1"/>
  <c r="R68" i="57"/>
  <c r="X15" i="58"/>
  <c r="Z16" i="58"/>
  <c r="J18" i="58"/>
  <c r="J20" i="58" s="1"/>
  <c r="S18" i="58"/>
  <c r="S20" i="58" s="1"/>
  <c r="R18" i="58"/>
  <c r="R20" i="58" s="1"/>
  <c r="H5" i="58"/>
  <c r="Y15" i="58"/>
  <c r="F18" i="58"/>
  <c r="F20" i="58" s="1"/>
  <c r="A15" i="58"/>
  <c r="A16" i="58" s="1"/>
  <c r="A17" i="58" s="1"/>
  <c r="I8" i="57" a="1"/>
  <c r="I8" i="57" s="1"/>
  <c r="I9" i="57" s="1"/>
  <c r="G5" i="58"/>
  <c r="G6" i="58"/>
  <c r="G7" i="58"/>
  <c r="I5" i="58"/>
  <c r="G8" i="58"/>
  <c r="I18" i="58"/>
  <c r="I20" i="58" s="1"/>
  <c r="V29" i="58"/>
  <c r="G18" i="58"/>
  <c r="G20" i="58" s="1"/>
  <c r="W25" i="58"/>
  <c r="AA29" i="58"/>
  <c r="X25" i="58"/>
  <c r="AB29" i="58"/>
  <c r="Y25" i="58"/>
  <c r="W15" i="58"/>
  <c r="F65" i="57" l="1"/>
  <c r="O43" i="57"/>
  <c r="O53" i="57" s="1"/>
  <c r="F4" i="58"/>
  <c r="F5" i="58"/>
  <c r="F6" i="58"/>
  <c r="F8" i="58"/>
  <c r="F7" i="58"/>
  <c r="E78" i="57"/>
  <c r="J65" i="57"/>
  <c r="O65" i="57" s="1"/>
  <c r="D78" i="57"/>
  <c r="I65" i="57"/>
  <c r="N65" i="57" s="1"/>
  <c r="K65" i="57" l="1"/>
  <c r="P65" i="57" s="1"/>
  <c r="F78" i="57"/>
  <c r="K12" i="53" l="1"/>
  <c r="I12" i="53"/>
  <c r="G12" i="53"/>
  <c r="E12" i="53"/>
  <c r="K29" i="53"/>
  <c r="I29" i="53"/>
  <c r="G29" i="53"/>
  <c r="E29" i="53"/>
  <c r="C29" i="53"/>
  <c r="B29" i="53"/>
  <c r="K82" i="46"/>
  <c r="I82" i="46"/>
  <c r="G82" i="46"/>
  <c r="E82" i="46"/>
  <c r="C82" i="46"/>
  <c r="K78" i="46"/>
  <c r="I78" i="46"/>
  <c r="G78" i="46"/>
  <c r="E78" i="46"/>
  <c r="C78" i="46"/>
  <c r="K75" i="46"/>
  <c r="I75" i="46"/>
  <c r="G75" i="46"/>
  <c r="E75" i="46"/>
  <c r="C75" i="46"/>
  <c r="K71" i="46"/>
  <c r="I71" i="46"/>
  <c r="G71" i="46"/>
  <c r="E71" i="46"/>
  <c r="C71" i="46"/>
  <c r="K67" i="46"/>
  <c r="I67" i="46"/>
  <c r="G67" i="46"/>
  <c r="E67" i="46"/>
  <c r="C67" i="46"/>
  <c r="K62" i="46"/>
  <c r="I62" i="46"/>
  <c r="G62" i="46"/>
  <c r="E62" i="46"/>
  <c r="C62" i="46"/>
  <c r="K58" i="46"/>
  <c r="I58" i="46"/>
  <c r="G58" i="46"/>
  <c r="E58" i="46"/>
  <c r="C58" i="46"/>
  <c r="K55" i="46"/>
  <c r="I55" i="46"/>
  <c r="G55" i="46"/>
  <c r="E55" i="46"/>
  <c r="C55" i="46"/>
  <c r="K51" i="46"/>
  <c r="I51" i="46"/>
  <c r="G51" i="46"/>
  <c r="E51" i="46"/>
  <c r="C51" i="46"/>
  <c r="K47" i="46"/>
  <c r="I47" i="46"/>
  <c r="G47" i="46"/>
  <c r="E47" i="46"/>
  <c r="C47" i="46"/>
  <c r="H309" i="39"/>
  <c r="G309" i="39"/>
  <c r="F309" i="39"/>
  <c r="H303" i="39"/>
  <c r="G303" i="39"/>
  <c r="F303" i="39"/>
  <c r="F50" i="39"/>
  <c r="B268" i="47"/>
  <c r="B183" i="39"/>
  <c r="B194" i="39"/>
  <c r="P243" i="47"/>
  <c r="O243" i="47"/>
  <c r="B256" i="47"/>
  <c r="B306" i="47"/>
  <c r="P177" i="43"/>
  <c r="P175" i="43"/>
  <c r="P173" i="43"/>
  <c r="P170" i="43"/>
  <c r="O177" i="43"/>
  <c r="B177" i="43"/>
  <c r="O175" i="43"/>
  <c r="O173" i="43"/>
  <c r="O170" i="43"/>
  <c r="B232" i="42"/>
  <c r="B198" i="42"/>
  <c r="P225" i="39"/>
  <c r="O225" i="39"/>
  <c r="O59" i="37"/>
  <c r="P40" i="48"/>
  <c r="B12" i="53"/>
  <c r="B46" i="53" s="1"/>
  <c r="K46" i="53"/>
  <c r="C46" i="53"/>
  <c r="C12" i="53"/>
  <c r="B11" i="53"/>
  <c r="B8" i="53"/>
  <c r="P6" i="53"/>
  <c r="O6" i="53"/>
  <c r="O5" i="53"/>
  <c r="B2" i="53"/>
  <c r="H10" i="48" l="1"/>
  <c r="H266" i="39" l="1"/>
  <c r="C21" i="38"/>
  <c r="C20" i="38"/>
  <c r="B106" i="48" l="1"/>
  <c r="B104" i="48"/>
  <c r="B102" i="48"/>
  <c r="B100" i="48"/>
  <c r="B98" i="48"/>
  <c r="K54" i="42"/>
  <c r="K58" i="42" s="1"/>
  <c r="J54" i="42"/>
  <c r="J58" i="42" s="1"/>
  <c r="I54" i="42"/>
  <c r="I58" i="42" s="1"/>
  <c r="H54" i="42"/>
  <c r="H58" i="42" s="1"/>
  <c r="G54" i="42"/>
  <c r="G58" i="42" s="1"/>
  <c r="B29" i="42"/>
  <c r="B54" i="42" s="1"/>
  <c r="K29" i="42"/>
  <c r="K33" i="42" s="1"/>
  <c r="J29" i="42"/>
  <c r="J33" i="42" s="1"/>
  <c r="I29" i="42"/>
  <c r="I33" i="42" s="1"/>
  <c r="H29" i="42"/>
  <c r="H33" i="42" s="1"/>
  <c r="G29" i="42"/>
  <c r="G33" i="42" s="1"/>
  <c r="H48" i="42" l="1"/>
  <c r="I48" i="42"/>
  <c r="J48" i="42"/>
  <c r="K48" i="42"/>
  <c r="G48" i="42"/>
  <c r="H23" i="42"/>
  <c r="I23" i="42"/>
  <c r="J23" i="42"/>
  <c r="K23" i="42"/>
  <c r="G23" i="42"/>
  <c r="B35" i="42"/>
  <c r="B242" i="42" s="1"/>
  <c r="B87" i="47"/>
  <c r="O89" i="47"/>
  <c r="O85" i="47"/>
  <c r="K35" i="39"/>
  <c r="J35" i="39"/>
  <c r="I35" i="39"/>
  <c r="H35" i="39"/>
  <c r="G35" i="39"/>
  <c r="K34" i="39"/>
  <c r="K36" i="39" s="1"/>
  <c r="J34" i="39"/>
  <c r="J36" i="39" s="1"/>
  <c r="I34" i="39"/>
  <c r="I36" i="39" s="1"/>
  <c r="H34" i="39"/>
  <c r="H36" i="39" s="1"/>
  <c r="G34" i="39"/>
  <c r="G36" i="39" s="1"/>
  <c r="E36" i="39"/>
  <c r="E35" i="39"/>
  <c r="E34" i="39"/>
  <c r="B34" i="39"/>
  <c r="B49" i="44"/>
  <c r="B40" i="44"/>
  <c r="B31" i="44"/>
  <c r="B22" i="44"/>
  <c r="B13" i="44"/>
  <c r="D12" i="44"/>
  <c r="C12" i="44"/>
  <c r="C12" i="45"/>
  <c r="P188" i="43"/>
  <c r="O47" i="48"/>
  <c r="P45" i="48"/>
  <c r="O45" i="48"/>
  <c r="P44" i="48"/>
  <c r="O44" i="48"/>
  <c r="P47" i="48"/>
  <c r="O345" i="47"/>
  <c r="O332" i="47"/>
  <c r="O319" i="47"/>
  <c r="O40" i="48"/>
  <c r="B60" i="42" l="1"/>
  <c r="B403" i="42"/>
  <c r="B8" i="38"/>
  <c r="B48" i="38" l="1"/>
  <c r="C50" i="38"/>
  <c r="B50" i="38"/>
  <c r="C49" i="38"/>
  <c r="B49" i="38"/>
  <c r="C38" i="38"/>
  <c r="B46" i="38"/>
  <c r="B45" i="38" s="1"/>
  <c r="J11" i="46"/>
  <c r="H417" i="47"/>
  <c r="B44" i="38" l="1"/>
  <c r="P345" i="47"/>
  <c r="B263" i="39"/>
  <c r="B269" i="39"/>
  <c r="B268" i="39"/>
  <c r="B307" i="39" s="1"/>
  <c r="B262" i="39"/>
  <c r="B301" i="39" s="1"/>
  <c r="H311" i="39"/>
  <c r="G311" i="39"/>
  <c r="F311" i="39"/>
  <c r="B311" i="39"/>
  <c r="B309" i="39"/>
  <c r="H305" i="39"/>
  <c r="G305" i="39"/>
  <c r="F305" i="39"/>
  <c r="B305" i="39"/>
  <c r="B303" i="39"/>
  <c r="H272" i="39"/>
  <c r="G272" i="39"/>
  <c r="F272" i="39"/>
  <c r="H270" i="39"/>
  <c r="G270" i="39"/>
  <c r="F270" i="39"/>
  <c r="B272" i="39"/>
  <c r="B270" i="39"/>
  <c r="B43" i="38" l="1"/>
  <c r="H264" i="39"/>
  <c r="G266" i="39"/>
  <c r="G264" i="39"/>
  <c r="F266" i="39"/>
  <c r="F264" i="39"/>
  <c r="D66" i="38"/>
  <c r="D67" i="38"/>
  <c r="D65" i="38"/>
  <c r="D62" i="38"/>
  <c r="D63" i="38"/>
  <c r="D61" i="38"/>
  <c r="B266" i="39"/>
  <c r="B264" i="39"/>
  <c r="P59" i="47"/>
  <c r="D45" i="49"/>
  <c r="B45" i="49"/>
  <c r="G302" i="39" l="1"/>
  <c r="F302" i="39"/>
  <c r="H302" i="39"/>
  <c r="H308" i="39"/>
  <c r="G308" i="39"/>
  <c r="F308" i="39"/>
  <c r="B42" i="38"/>
  <c r="H263" i="39"/>
  <c r="F269" i="39"/>
  <c r="H269" i="39"/>
  <c r="G269" i="39"/>
  <c r="G263" i="39"/>
  <c r="F263" i="39"/>
  <c r="B21" i="49"/>
  <c r="B41" i="38" l="1"/>
  <c r="O12" i="52"/>
  <c r="K14" i="52"/>
  <c r="I14" i="52"/>
  <c r="G14" i="52"/>
  <c r="F14" i="52"/>
  <c r="D14" i="52"/>
  <c r="B14" i="52"/>
  <c r="B40" i="38" l="1"/>
  <c r="D58" i="38"/>
  <c r="D57" i="38"/>
  <c r="G264" i="42" s="1"/>
  <c r="B264" i="42"/>
  <c r="B261" i="42"/>
  <c r="B258" i="42"/>
  <c r="B255" i="42"/>
  <c r="G253" i="42"/>
  <c r="H253" i="42" s="1"/>
  <c r="I253" i="42" s="1"/>
  <c r="B253" i="42"/>
  <c r="B392" i="42"/>
  <c r="B39" i="38" l="1"/>
  <c r="H255" i="42"/>
  <c r="K264" i="42"/>
  <c r="J264" i="42"/>
  <c r="K258" i="42"/>
  <c r="I264" i="42"/>
  <c r="H264" i="42"/>
  <c r="K261" i="42"/>
  <c r="G255" i="42"/>
  <c r="J261" i="42"/>
  <c r="K255" i="42"/>
  <c r="I261" i="42"/>
  <c r="G258" i="42"/>
  <c r="J258" i="42"/>
  <c r="I258" i="42"/>
  <c r="H258" i="42"/>
  <c r="G261" i="42"/>
  <c r="J255" i="42"/>
  <c r="H261" i="42"/>
  <c r="I255" i="42"/>
  <c r="B208" i="42"/>
  <c r="B10" i="48" l="1"/>
  <c r="F36" i="46"/>
  <c r="G36" i="46"/>
  <c r="H36" i="46"/>
  <c r="I36" i="46"/>
  <c r="F37" i="46"/>
  <c r="G37" i="46"/>
  <c r="H37" i="46"/>
  <c r="I37" i="46"/>
  <c r="F38" i="46"/>
  <c r="G38" i="46"/>
  <c r="H38" i="46"/>
  <c r="I38" i="46"/>
  <c r="E38" i="46"/>
  <c r="E37" i="46"/>
  <c r="E36" i="46"/>
  <c r="D12" i="45"/>
  <c r="P332" i="47"/>
  <c r="P402" i="47" l="1"/>
  <c r="P8" i="47" l="1"/>
  <c r="O464" i="47"/>
  <c r="K26" i="39" l="1"/>
  <c r="J26" i="39"/>
  <c r="K25" i="39"/>
  <c r="J25" i="39"/>
  <c r="P319" i="47"/>
  <c r="K24" i="37"/>
  <c r="P254" i="39"/>
  <c r="O254" i="39"/>
  <c r="P250" i="39"/>
  <c r="O250" i="39"/>
  <c r="P246" i="39"/>
  <c r="O246" i="39"/>
  <c r="P242" i="39"/>
  <c r="O242" i="39"/>
  <c r="P238" i="39"/>
  <c r="O238" i="39"/>
  <c r="B130" i="48"/>
  <c r="K50" i="39" l="1"/>
  <c r="I35" i="46"/>
  <c r="P388" i="47"/>
  <c r="P374" i="47"/>
  <c r="F262" i="39" l="1"/>
  <c r="F268" i="39" s="1"/>
  <c r="B17" i="46"/>
  <c r="F45" i="48"/>
  <c r="F43" i="48"/>
  <c r="B6" i="49" l="1"/>
  <c r="B6" i="53" s="1"/>
  <c r="B6" i="48"/>
  <c r="B173" i="47"/>
  <c r="B175" i="47"/>
  <c r="B176" i="47"/>
  <c r="B177" i="47"/>
  <c r="O122" i="42"/>
  <c r="P142" i="39"/>
  <c r="O142" i="39"/>
  <c r="O121" i="39"/>
  <c r="O435" i="47"/>
  <c r="O422" i="47"/>
  <c r="O374" i="47"/>
  <c r="O194" i="47"/>
  <c r="B478" i="47"/>
  <c r="B6" i="45" l="1"/>
  <c r="B6" i="52"/>
  <c r="B6" i="47"/>
  <c r="B6" i="42"/>
  <c r="B6" i="46"/>
  <c r="B6" i="39"/>
  <c r="B6" i="44"/>
  <c r="B6" i="37"/>
  <c r="B6" i="43"/>
  <c r="B121" i="43" l="1"/>
  <c r="B111" i="43"/>
  <c r="B101" i="43"/>
  <c r="B91" i="43"/>
  <c r="B81" i="43"/>
  <c r="B71" i="43"/>
  <c r="B61" i="43"/>
  <c r="B51" i="43"/>
  <c r="B41" i="43"/>
  <c r="B31" i="43"/>
  <c r="B21" i="43"/>
  <c r="D55" i="38"/>
  <c r="D54" i="38"/>
  <c r="B129" i="43"/>
  <c r="B182" i="43" l="1"/>
  <c r="B227" i="43" s="1"/>
  <c r="B28" i="43"/>
  <c r="B38" i="43"/>
  <c r="B48" i="43"/>
  <c r="B58" i="43"/>
  <c r="B68" i="43"/>
  <c r="B78" i="43"/>
  <c r="B88" i="43"/>
  <c r="B98" i="43"/>
  <c r="B108" i="43"/>
  <c r="B118" i="43"/>
  <c r="B355" i="42"/>
  <c r="B365" i="42"/>
  <c r="B345" i="42"/>
  <c r="B297" i="42"/>
  <c r="B289" i="42"/>
  <c r="B127" i="42"/>
  <c r="B157" i="42"/>
  <c r="B167" i="42"/>
  <c r="B137" i="42"/>
  <c r="B147" i="42"/>
  <c r="B125" i="42"/>
  <c r="B169" i="39"/>
  <c r="B40" i="45"/>
  <c r="B49" i="45"/>
  <c r="B22" i="45"/>
  <c r="B31" i="45"/>
  <c r="B216" i="47"/>
  <c r="B221" i="47"/>
  <c r="D32" i="49"/>
  <c r="D28" i="49"/>
  <c r="O28" i="49" l="1"/>
  <c r="P28" i="49"/>
  <c r="O32" i="49"/>
  <c r="P194" i="43"/>
  <c r="P192" i="43"/>
  <c r="P190" i="43"/>
  <c r="O194" i="43"/>
  <c r="O192" i="43"/>
  <c r="O190" i="43"/>
  <c r="O188" i="43"/>
  <c r="B28" i="49" l="1"/>
  <c r="O8" i="47"/>
  <c r="D65" i="49" l="1"/>
  <c r="D59" i="49"/>
  <c r="D52" i="49"/>
  <c r="D38" i="49"/>
  <c r="D67" i="49"/>
  <c r="D62" i="49"/>
  <c r="D55" i="49"/>
  <c r="D48" i="49"/>
  <c r="D41" i="49"/>
  <c r="D71" i="49"/>
  <c r="B65" i="49"/>
  <c r="B59" i="49"/>
  <c r="B52" i="49"/>
  <c r="B38" i="49"/>
  <c r="B67" i="49"/>
  <c r="B62" i="49"/>
  <c r="B55" i="49"/>
  <c r="B48" i="49"/>
  <c r="B41" i="49"/>
  <c r="B71" i="49"/>
  <c r="B12" i="43"/>
  <c r="B40" i="46" s="1"/>
  <c r="B58" i="46"/>
  <c r="B78" i="46" s="1"/>
  <c r="B9" i="46"/>
  <c r="B8" i="46"/>
  <c r="B28" i="46"/>
  <c r="B37" i="49" l="1"/>
  <c r="B320" i="42" l="1"/>
  <c r="B179" i="42"/>
  <c r="B16" i="42"/>
  <c r="B376" i="42"/>
  <c r="B276" i="39"/>
  <c r="B222" i="39"/>
  <c r="B207" i="39"/>
  <c r="B18" i="39"/>
  <c r="B12" i="37"/>
  <c r="B2" i="37"/>
  <c r="B2" i="43" s="1"/>
  <c r="B447" i="47"/>
  <c r="B358" i="47"/>
  <c r="B206" i="47"/>
  <c r="B96" i="47"/>
  <c r="B12" i="47"/>
  <c r="B24" i="49"/>
  <c r="B8" i="49"/>
  <c r="B4" i="49"/>
  <c r="B127" i="48"/>
  <c r="B109" i="48"/>
  <c r="B70" i="48"/>
  <c r="B76" i="48"/>
  <c r="B64" i="48"/>
  <c r="D66" i="48"/>
  <c r="B25" i="48"/>
  <c r="B38" i="48"/>
  <c r="C29" i="48"/>
  <c r="B5" i="48"/>
  <c r="B4" i="52" l="1"/>
  <c r="B4" i="53"/>
  <c r="B2" i="39"/>
  <c r="B2" i="42"/>
  <c r="C8" i="38"/>
  <c r="C48" i="38" s="1"/>
  <c r="C6" i="38"/>
  <c r="B296" i="39"/>
  <c r="B295" i="39"/>
  <c r="B294" i="39"/>
  <c r="B291" i="39"/>
  <c r="B290" i="39"/>
  <c r="B289" i="39"/>
  <c r="O294" i="39"/>
  <c r="P294" i="39"/>
  <c r="O289" i="39"/>
  <c r="P289" i="39"/>
  <c r="B257" i="39"/>
  <c r="B256" i="39"/>
  <c r="B255" i="39"/>
  <c r="B253" i="39"/>
  <c r="B252" i="39"/>
  <c r="B251" i="39"/>
  <c r="B249" i="39"/>
  <c r="B248" i="39"/>
  <c r="B247" i="39"/>
  <c r="B245" i="39"/>
  <c r="B244" i="39"/>
  <c r="B243" i="39"/>
  <c r="P89" i="47" l="1"/>
  <c r="B89" i="47" s="1"/>
  <c r="P85" i="47"/>
  <c r="B85" i="47" s="1"/>
  <c r="C46" i="38"/>
  <c r="P12" i="52"/>
  <c r="B12" i="52" s="1"/>
  <c r="B292" i="39"/>
  <c r="B287" i="39"/>
  <c r="B50" i="48"/>
  <c r="P32" i="49"/>
  <c r="B32" i="49" s="1"/>
  <c r="C45" i="38" l="1"/>
  <c r="L237" i="39"/>
  <c r="M23" i="58" s="1"/>
  <c r="U23" i="58" s="1"/>
  <c r="AC23" i="58" s="1"/>
  <c r="B286" i="39"/>
  <c r="B285" i="39"/>
  <c r="B284" i="39"/>
  <c r="B51" i="39"/>
  <c r="C44" i="38" l="1"/>
  <c r="K237" i="39"/>
  <c r="L23" i="58" s="1"/>
  <c r="T23" i="58" s="1"/>
  <c r="AB23" i="58" s="1"/>
  <c r="C101" i="47"/>
  <c r="E101" i="47"/>
  <c r="G101" i="47"/>
  <c r="I101" i="47"/>
  <c r="K101" i="47"/>
  <c r="J34" i="47"/>
  <c r="G34" i="47"/>
  <c r="E34" i="47"/>
  <c r="C34" i="47"/>
  <c r="C43" i="38" l="1"/>
  <c r="J237" i="39"/>
  <c r="K23" i="58" s="1"/>
  <c r="S23" i="58" s="1"/>
  <c r="AA23" i="58" s="1"/>
  <c r="I33" i="46"/>
  <c r="H33" i="46"/>
  <c r="C42" i="38" l="1"/>
  <c r="I237" i="39"/>
  <c r="J23" i="58" s="1"/>
  <c r="R23" i="58" s="1"/>
  <c r="Z23" i="58" s="1"/>
  <c r="K118" i="42"/>
  <c r="K116" i="42"/>
  <c r="J118" i="42"/>
  <c r="J116" i="42"/>
  <c r="J113" i="42"/>
  <c r="K104" i="42"/>
  <c r="K107" i="42" s="1"/>
  <c r="K100" i="42"/>
  <c r="K94" i="42"/>
  <c r="J104" i="42"/>
  <c r="J107" i="42" s="1"/>
  <c r="J100" i="42"/>
  <c r="J94" i="42"/>
  <c r="K223" i="42"/>
  <c r="K225" i="42" s="1"/>
  <c r="K226" i="42" s="1"/>
  <c r="K230" i="42" s="1"/>
  <c r="J223" i="42"/>
  <c r="J225" i="42" s="1"/>
  <c r="J226" i="42" s="1"/>
  <c r="J230" i="42" s="1"/>
  <c r="K189" i="42"/>
  <c r="K191" i="42" s="1"/>
  <c r="J189" i="42"/>
  <c r="J191" i="42" s="1"/>
  <c r="K382" i="42"/>
  <c r="K21" i="42" s="1"/>
  <c r="K46" i="42" s="1"/>
  <c r="K90" i="42" s="1"/>
  <c r="K96" i="42" s="1"/>
  <c r="K102" i="42" s="1"/>
  <c r="K111" i="42" s="1"/>
  <c r="K185" i="42" s="1"/>
  <c r="J382" i="42"/>
  <c r="J21" i="42" s="1"/>
  <c r="J46" i="42" s="1"/>
  <c r="J90" i="42" s="1"/>
  <c r="J96" i="42" s="1"/>
  <c r="J102" i="42" s="1"/>
  <c r="J111" i="42" s="1"/>
  <c r="J185" i="42" s="1"/>
  <c r="K386" i="42"/>
  <c r="K390" i="42" s="1"/>
  <c r="J386" i="42"/>
  <c r="J390" i="42" s="1"/>
  <c r="K219" i="39"/>
  <c r="J219" i="39"/>
  <c r="K23" i="39"/>
  <c r="K48" i="39" s="1"/>
  <c r="K138" i="39" s="1"/>
  <c r="K212" i="39" s="1"/>
  <c r="J23" i="39"/>
  <c r="J48" i="39" s="1"/>
  <c r="J138" i="39" s="1"/>
  <c r="J212" i="39" s="1"/>
  <c r="N2" i="58" s="1"/>
  <c r="I2" i="58" s="1"/>
  <c r="K42" i="39"/>
  <c r="K39" i="39"/>
  <c r="K33" i="39"/>
  <c r="K30" i="39"/>
  <c r="K27" i="39"/>
  <c r="J42" i="39"/>
  <c r="J39" i="39"/>
  <c r="J33" i="39"/>
  <c r="J30" i="39"/>
  <c r="J27" i="39"/>
  <c r="K19" i="37"/>
  <c r="H6" i="57" s="1"/>
  <c r="J19" i="37"/>
  <c r="G6" i="57" s="1"/>
  <c r="K28" i="37"/>
  <c r="J24" i="37"/>
  <c r="J50" i="39" s="1"/>
  <c r="H262" i="39" l="1"/>
  <c r="H268" i="39" s="1"/>
  <c r="O2" i="58"/>
  <c r="J2" i="58" s="1"/>
  <c r="P6" i="57"/>
  <c r="H39" i="57"/>
  <c r="O6" i="57"/>
  <c r="G39" i="57"/>
  <c r="C41" i="38"/>
  <c r="H237" i="39"/>
  <c r="I23" i="58" s="1"/>
  <c r="Q23" i="58" s="1"/>
  <c r="Y23" i="58" s="1"/>
  <c r="J51" i="39"/>
  <c r="H35" i="46"/>
  <c r="J192" i="42"/>
  <c r="J196" i="42" s="1"/>
  <c r="K192" i="42"/>
  <c r="K196" i="42" s="1"/>
  <c r="J115" i="42"/>
  <c r="J117" i="42"/>
  <c r="K115" i="42"/>
  <c r="K117" i="42"/>
  <c r="J114" i="42"/>
  <c r="K113" i="42"/>
  <c r="K114" i="42"/>
  <c r="J28" i="37"/>
  <c r="K51" i="39"/>
  <c r="J219" i="42"/>
  <c r="J253" i="42" s="1"/>
  <c r="K219" i="42"/>
  <c r="K253" i="42" s="1"/>
  <c r="K26" i="37"/>
  <c r="K29" i="37" s="1"/>
  <c r="J26" i="37"/>
  <c r="J29" i="37" s="1"/>
  <c r="B308" i="39"/>
  <c r="B240" i="39"/>
  <c r="E38" i="39"/>
  <c r="E32" i="39"/>
  <c r="E29" i="39"/>
  <c r="Q43" i="57" l="1"/>
  <c r="Q53" i="57" s="1"/>
  <c r="H65" i="57"/>
  <c r="G65" i="57"/>
  <c r="P43" i="57"/>
  <c r="P53" i="57" s="1"/>
  <c r="C40" i="38"/>
  <c r="G237" i="39"/>
  <c r="H23" i="58" s="1"/>
  <c r="P23" i="58" s="1"/>
  <c r="X23" i="58" s="1"/>
  <c r="P13" i="46"/>
  <c r="O13" i="46"/>
  <c r="B229" i="47"/>
  <c r="L65" i="57" l="1"/>
  <c r="Q65" i="57" s="1"/>
  <c r="G78" i="57"/>
  <c r="H78" i="57"/>
  <c r="M65" i="57"/>
  <c r="R65" i="57" s="1"/>
  <c r="C39" i="38"/>
  <c r="E237" i="39" s="1"/>
  <c r="F23" i="58" s="1"/>
  <c r="N23" i="58" s="1"/>
  <c r="V23" i="58" s="1"/>
  <c r="F237" i="39"/>
  <c r="G23" i="58" s="1"/>
  <c r="O23" i="58" s="1"/>
  <c r="W23" i="58" s="1"/>
  <c r="C2" i="38"/>
  <c r="P5" i="53" s="1"/>
  <c r="AD110" i="5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15" i="43" l="1"/>
  <c r="P343" i="42"/>
  <c r="P122" i="42"/>
  <c r="P416" i="42"/>
  <c r="P121" i="39"/>
  <c r="P81" i="39"/>
  <c r="P67" i="39"/>
  <c r="P59" i="37"/>
  <c r="P450" i="47"/>
  <c r="P435" i="47"/>
  <c r="P422" i="47"/>
  <c r="P361" i="47"/>
  <c r="P280" i="47"/>
  <c r="P194" i="47"/>
  <c r="O15" i="43"/>
  <c r="O343" i="42"/>
  <c r="O416" i="42"/>
  <c r="O81" i="39"/>
  <c r="O67" i="39"/>
  <c r="O450" i="47"/>
  <c r="O402" i="47"/>
  <c r="O388" i="47"/>
  <c r="O361" i="47"/>
  <c r="O280" i="47"/>
  <c r="O59" i="47"/>
  <c r="B59" i="47" l="1"/>
  <c r="G223" i="42"/>
  <c r="G225" i="42" s="1"/>
  <c r="G226" i="42" s="1"/>
  <c r="G230" i="42" s="1"/>
  <c r="G189" i="42"/>
  <c r="G191" i="42" s="1"/>
  <c r="I386" i="42"/>
  <c r="I390" i="42" s="1"/>
  <c r="H386" i="42"/>
  <c r="H390" i="42" s="1"/>
  <c r="G386" i="42"/>
  <c r="G390" i="42" s="1"/>
  <c r="E296" i="39"/>
  <c r="E291" i="39"/>
  <c r="E286" i="39"/>
  <c r="E257" i="39"/>
  <c r="E253" i="39"/>
  <c r="E249" i="39"/>
  <c r="E245" i="39"/>
  <c r="G241" i="39"/>
  <c r="F241" i="39"/>
  <c r="E241" i="39"/>
  <c r="G192" i="42" l="1"/>
  <c r="G196" i="42" s="1"/>
  <c r="B141" i="48" l="1"/>
  <c r="E141" i="48"/>
  <c r="J141" i="48"/>
  <c r="J140" i="48"/>
  <c r="O284" i="39" l="1"/>
  <c r="P284" i="39"/>
  <c r="L281" i="39" l="1"/>
  <c r="M13" i="58" s="1"/>
  <c r="U13" i="58" s="1"/>
  <c r="AC13" i="58" s="1"/>
  <c r="B211" i="47"/>
  <c r="B209" i="47"/>
  <c r="K281" i="39" l="1"/>
  <c r="L13" i="58" s="1"/>
  <c r="T13" i="58" s="1"/>
  <c r="AB13" i="58" s="1"/>
  <c r="J281" i="39" l="1"/>
  <c r="K13" i="58" s="1"/>
  <c r="S13" i="58" s="1"/>
  <c r="AA13" i="58" s="1"/>
  <c r="B121" i="39"/>
  <c r="I281" i="39" l="1"/>
  <c r="J13" i="58" s="1"/>
  <c r="R13" i="58" s="1"/>
  <c r="Z13" i="58" s="1"/>
  <c r="H281" i="39" l="1"/>
  <c r="I13" i="58" s="1"/>
  <c r="Q13" i="58" s="1"/>
  <c r="Y13" i="58" s="1"/>
  <c r="P31" i="39"/>
  <c r="O31" i="39"/>
  <c r="P28" i="39"/>
  <c r="O28" i="39"/>
  <c r="G281" i="39" l="1"/>
  <c r="H13" i="58" s="1"/>
  <c r="P13" i="58" s="1"/>
  <c r="X13" i="58" s="1"/>
  <c r="F281" i="39" l="1"/>
  <c r="G13" i="58" s="1"/>
  <c r="O13" i="58" s="1"/>
  <c r="W13" i="58" s="1"/>
  <c r="E281" i="39" l="1"/>
  <c r="F13" i="58" s="1"/>
  <c r="N13" i="58" s="1"/>
  <c r="V13" i="58" s="1"/>
  <c r="F22" i="37" l="1"/>
  <c r="F48" i="42" s="1"/>
  <c r="B22" i="37"/>
  <c r="B48" i="42" s="1"/>
  <c r="B194" i="43"/>
  <c r="B239" i="43" s="1"/>
  <c r="B192" i="43"/>
  <c r="B237" i="43" s="1"/>
  <c r="B190" i="43"/>
  <c r="B235" i="43" s="1"/>
  <c r="B188" i="43"/>
  <c r="B233" i="43" s="1"/>
  <c r="B186" i="43"/>
  <c r="B231" i="43" s="1"/>
  <c r="B180" i="43"/>
  <c r="B225" i="43" s="1"/>
  <c r="B179" i="43"/>
  <c r="B224" i="43" s="1"/>
  <c r="B222" i="43"/>
  <c r="B175" i="43"/>
  <c r="B220" i="43" s="1"/>
  <c r="B173" i="43"/>
  <c r="B218" i="43" s="1"/>
  <c r="B170" i="43"/>
  <c r="B215" i="43" s="1"/>
  <c r="B168" i="43"/>
  <c r="B213" i="43" s="1"/>
  <c r="B164" i="43"/>
  <c r="B209" i="43" s="1"/>
  <c r="B163" i="43"/>
  <c r="B208" i="43" s="1"/>
  <c r="B160" i="43"/>
  <c r="B205" i="43" s="1"/>
  <c r="B158" i="43"/>
  <c r="B203" i="43" s="1"/>
  <c r="B156" i="43"/>
  <c r="B201" i="43" s="1"/>
  <c r="B154" i="43"/>
  <c r="B199" i="43" s="1"/>
  <c r="B153" i="43"/>
  <c r="B198" i="43" s="1"/>
  <c r="B152" i="43"/>
  <c r="B197" i="43" s="1"/>
  <c r="B57" i="46" l="1"/>
  <c r="B77" i="46" s="1"/>
  <c r="B50" i="46"/>
  <c r="B70" i="46" s="1"/>
  <c r="B47" i="46"/>
  <c r="B67" i="46" s="1"/>
  <c r="B51" i="46"/>
  <c r="B71" i="46" s="1"/>
  <c r="B62" i="46"/>
  <c r="B82" i="46" s="1"/>
  <c r="B45" i="46"/>
  <c r="B65" i="46" s="1"/>
  <c r="B55" i="46"/>
  <c r="B75" i="46" s="1"/>
  <c r="B46" i="46"/>
  <c r="B66" i="46" s="1"/>
  <c r="F23" i="37"/>
  <c r="B23" i="37"/>
  <c r="B464" i="47" l="1"/>
  <c r="B450" i="47" l="1"/>
  <c r="B26" i="49" l="1"/>
  <c r="L24" i="49"/>
  <c r="K24" i="49"/>
  <c r="J24" i="49"/>
  <c r="I24" i="49"/>
  <c r="H24" i="49"/>
  <c r="G24" i="49"/>
  <c r="F24" i="49"/>
  <c r="E24" i="49"/>
  <c r="D24" i="49"/>
  <c r="L19" i="49" l="1"/>
  <c r="K19" i="49"/>
  <c r="J19" i="49"/>
  <c r="I19" i="49"/>
  <c r="H19" i="49"/>
  <c r="G19" i="49"/>
  <c r="F19" i="49"/>
  <c r="E19" i="49"/>
  <c r="D19" i="49"/>
  <c r="B19" i="49"/>
  <c r="B15" i="49"/>
  <c r="B12" i="49"/>
  <c r="B10" i="49"/>
  <c r="L8" i="49"/>
  <c r="K8" i="49"/>
  <c r="J8" i="49"/>
  <c r="I8" i="49"/>
  <c r="H8" i="49"/>
  <c r="G8" i="49"/>
  <c r="F8" i="49"/>
  <c r="E8" i="49"/>
  <c r="D8" i="49"/>
  <c r="E140" i="48"/>
  <c r="B140" i="48"/>
  <c r="B138" i="48"/>
  <c r="L136" i="48"/>
  <c r="K136" i="48"/>
  <c r="J136" i="48"/>
  <c r="I136" i="48"/>
  <c r="H136" i="48"/>
  <c r="G136" i="48"/>
  <c r="E136" i="48"/>
  <c r="D136" i="48"/>
  <c r="C136" i="48"/>
  <c r="B131" i="48"/>
  <c r="B133" i="48"/>
  <c r="B85" i="48"/>
  <c r="B129" i="48"/>
  <c r="L127" i="48"/>
  <c r="K127" i="48"/>
  <c r="J127" i="48"/>
  <c r="I127" i="48"/>
  <c r="H127" i="48"/>
  <c r="G127" i="48"/>
  <c r="E127" i="48"/>
  <c r="D127" i="48"/>
  <c r="C127" i="48"/>
  <c r="L64" i="48"/>
  <c r="K64" i="48"/>
  <c r="J64" i="48"/>
  <c r="I64" i="48"/>
  <c r="H64" i="48"/>
  <c r="G64" i="48"/>
  <c r="E64" i="48"/>
  <c r="D64" i="48"/>
  <c r="C64" i="48"/>
  <c r="B4" i="39" l="1"/>
  <c r="B4" i="47"/>
  <c r="B4" i="37"/>
  <c r="B4" i="43"/>
  <c r="B4" i="45"/>
  <c r="B4" i="46"/>
  <c r="B4" i="42"/>
  <c r="B4" i="44"/>
  <c r="B35" i="48"/>
  <c r="B27" i="48"/>
  <c r="L25" i="48"/>
  <c r="K25" i="48"/>
  <c r="J25" i="48"/>
  <c r="I25" i="48"/>
  <c r="H25" i="48"/>
  <c r="G25" i="48"/>
  <c r="E25" i="48"/>
  <c r="D25" i="48"/>
  <c r="C25" i="48"/>
  <c r="B72" i="48"/>
  <c r="L70" i="48"/>
  <c r="K70" i="48"/>
  <c r="J70" i="48"/>
  <c r="I70" i="48"/>
  <c r="H70" i="48"/>
  <c r="G70" i="48"/>
  <c r="E70" i="48"/>
  <c r="D70" i="48"/>
  <c r="C70" i="48"/>
  <c r="B124" i="48" l="1"/>
  <c r="B119" i="48" l="1"/>
  <c r="B111" i="48"/>
  <c r="B117" i="48"/>
  <c r="B115" i="48"/>
  <c r="B113" i="48"/>
  <c r="B45" i="48" l="1"/>
  <c r="D42" i="48"/>
  <c r="B43" i="48"/>
  <c r="B40" i="48"/>
  <c r="B86" i="48" l="1"/>
  <c r="B82" i="48"/>
  <c r="B80" i="48"/>
  <c r="B78" i="48"/>
  <c r="B280" i="47" l="1"/>
  <c r="B435" i="47"/>
  <c r="B243" i="47"/>
  <c r="B345" i="47" l="1"/>
  <c r="B332" i="47"/>
  <c r="B319" i="47" l="1"/>
  <c r="B296" i="47" l="1"/>
  <c r="B293" i="47"/>
  <c r="B374" i="47"/>
  <c r="B422" i="47" l="1"/>
  <c r="B420" i="47"/>
  <c r="B419" i="47"/>
  <c r="B418" i="47"/>
  <c r="B416" i="47"/>
  <c r="B402" i="47" l="1"/>
  <c r="B388" i="47"/>
  <c r="B361" i="47"/>
  <c r="B194" i="47" l="1"/>
  <c r="B181" i="47"/>
  <c r="B160" i="47"/>
  <c r="B99" i="47" l="1"/>
  <c r="B72" i="47"/>
  <c r="B28" i="47"/>
  <c r="B15" i="47"/>
  <c r="B10" i="47"/>
  <c r="B9" i="47"/>
  <c r="B8" i="47"/>
  <c r="B8" i="52" s="1"/>
  <c r="B15" i="46"/>
  <c r="B14" i="46"/>
  <c r="B13" i="46"/>
  <c r="B12" i="46"/>
  <c r="B30" i="46"/>
  <c r="E33" i="46"/>
  <c r="F33" i="46" s="1"/>
  <c r="G33" i="46" s="1"/>
  <c r="B35" i="46"/>
  <c r="B9" i="43" l="1"/>
  <c r="B9" i="39"/>
  <c r="B9" i="37"/>
  <c r="B9" i="42"/>
  <c r="B8" i="43"/>
  <c r="B8" i="39"/>
  <c r="B8" i="42"/>
  <c r="B8" i="37"/>
  <c r="B42" i="46"/>
  <c r="B13" i="45"/>
  <c r="B10" i="45"/>
  <c r="B8" i="45"/>
  <c r="B10" i="44"/>
  <c r="B8" i="44"/>
  <c r="P6" i="44"/>
  <c r="O6" i="44"/>
  <c r="O5" i="44"/>
  <c r="B2" i="44"/>
  <c r="B147" i="43" l="1"/>
  <c r="B143" i="43"/>
  <c r="B142" i="43"/>
  <c r="B139" i="43"/>
  <c r="B136" i="43" l="1"/>
  <c r="B308" i="42"/>
  <c r="B73" i="42" l="1"/>
  <c r="B132" i="43" l="1"/>
  <c r="B18" i="43" l="1"/>
  <c r="B15" i="43"/>
  <c r="B326" i="42" l="1"/>
  <c r="E325" i="42"/>
  <c r="F325" i="42" l="1"/>
  <c r="G325" i="42" s="1"/>
  <c r="H325" i="42" s="1"/>
  <c r="I325" i="42" s="1"/>
  <c r="J325" i="42" s="1"/>
  <c r="B281" i="42"/>
  <c r="B195" i="42" l="1"/>
  <c r="B229" i="42" s="1"/>
  <c r="B192" i="42"/>
  <c r="B226" i="42" s="1"/>
  <c r="B219" i="42" l="1"/>
  <c r="B196" i="42"/>
  <c r="B230" i="42" s="1"/>
  <c r="B194" i="42"/>
  <c r="B228" i="42" s="1"/>
  <c r="B193" i="42"/>
  <c r="B227" i="42" s="1"/>
  <c r="B191" i="42"/>
  <c r="B225" i="42" s="1"/>
  <c r="B190" i="42"/>
  <c r="B224" i="42" s="1"/>
  <c r="B189" i="42"/>
  <c r="B223" i="42" s="1"/>
  <c r="B188" i="42"/>
  <c r="B222" i="42" s="1"/>
  <c r="B187" i="42"/>
  <c r="B221" i="42" s="1"/>
  <c r="G185" i="42"/>
  <c r="B185" i="42"/>
  <c r="G125" i="42"/>
  <c r="E125" i="42"/>
  <c r="D125" i="42"/>
  <c r="C125" i="42"/>
  <c r="H118" i="42"/>
  <c r="I118" i="42"/>
  <c r="G118" i="42"/>
  <c r="H116" i="42"/>
  <c r="I116" i="42"/>
  <c r="G116" i="42"/>
  <c r="F114" i="42"/>
  <c r="F113" i="42"/>
  <c r="B118" i="42"/>
  <c r="B117" i="42"/>
  <c r="B116" i="42"/>
  <c r="B115" i="42"/>
  <c r="G219" i="42" l="1"/>
  <c r="H185" i="42"/>
  <c r="I185" i="42" l="1"/>
  <c r="H219" i="42"/>
  <c r="B114" i="42"/>
  <c r="B113" i="42"/>
  <c r="G111" i="42"/>
  <c r="B109" i="42"/>
  <c r="B105" i="42"/>
  <c r="H104" i="42"/>
  <c r="I104" i="42"/>
  <c r="G104" i="42"/>
  <c r="B104" i="42"/>
  <c r="G102" i="42"/>
  <c r="B102" i="42"/>
  <c r="I100" i="42"/>
  <c r="H100" i="42"/>
  <c r="G100" i="42"/>
  <c r="G96" i="42"/>
  <c r="B96" i="42"/>
  <c r="H94" i="42"/>
  <c r="I94" i="42"/>
  <c r="G94" i="42"/>
  <c r="B88" i="42"/>
  <c r="B94" i="42"/>
  <c r="B93" i="42"/>
  <c r="B92" i="42"/>
  <c r="B98" i="42" s="1"/>
  <c r="G90" i="42"/>
  <c r="H90" i="42" s="1"/>
  <c r="I90" i="42" s="1"/>
  <c r="B90" i="42"/>
  <c r="B86" i="42"/>
  <c r="B122" i="42"/>
  <c r="B182" i="42"/>
  <c r="B279" i="42"/>
  <c r="B323" i="42"/>
  <c r="I115" i="42" l="1"/>
  <c r="I117" i="42"/>
  <c r="G117" i="42"/>
  <c r="G115" i="42"/>
  <c r="H115" i="42"/>
  <c r="H117" i="42"/>
  <c r="I219" i="42"/>
  <c r="B106" i="42"/>
  <c r="B99" i="42"/>
  <c r="B107" i="42"/>
  <c r="B100" i="42"/>
  <c r="G107" i="42"/>
  <c r="E70" i="51"/>
  <c r="I107" i="42"/>
  <c r="G70" i="51"/>
  <c r="H107" i="42"/>
  <c r="F70" i="51"/>
  <c r="H111" i="42"/>
  <c r="I111" i="42" s="1"/>
  <c r="H102" i="42"/>
  <c r="I102" i="42" s="1"/>
  <c r="H96" i="42"/>
  <c r="I96" i="42" s="1"/>
  <c r="I223" i="42"/>
  <c r="I225" i="42" s="1"/>
  <c r="I226" i="42" s="1"/>
  <c r="I230" i="42" s="1"/>
  <c r="H223" i="42"/>
  <c r="H225" i="42" s="1"/>
  <c r="H226" i="42" s="1"/>
  <c r="H230" i="42" s="1"/>
  <c r="G46" i="42"/>
  <c r="B46" i="42"/>
  <c r="H189" i="42"/>
  <c r="H191" i="42" s="1"/>
  <c r="I189" i="42"/>
  <c r="I191" i="42" l="1"/>
  <c r="H192" i="42"/>
  <c r="H46" i="42"/>
  <c r="I46" i="42" s="1"/>
  <c r="I192" i="42" l="1"/>
  <c r="I196" i="42" s="1"/>
  <c r="H196" i="42"/>
  <c r="B31" i="42"/>
  <c r="B56" i="42" s="1"/>
  <c r="B32" i="42"/>
  <c r="B57" i="42" s="1"/>
  <c r="P27" i="42" l="1"/>
  <c r="O27" i="42"/>
  <c r="P26" i="42"/>
  <c r="O26" i="42"/>
  <c r="P25" i="42"/>
  <c r="O25" i="42"/>
  <c r="B24" i="42"/>
  <c r="B49" i="42" s="1"/>
  <c r="B21" i="42" l="1"/>
  <c r="B33" i="42"/>
  <c r="B58" i="42" s="1"/>
  <c r="B30" i="42"/>
  <c r="B55" i="42" s="1"/>
  <c r="B28" i="42"/>
  <c r="B53" i="42" s="1"/>
  <c r="B27" i="42"/>
  <c r="B52" i="42" s="1"/>
  <c r="B26" i="42"/>
  <c r="B51" i="42" s="1"/>
  <c r="B25" i="42"/>
  <c r="B50" i="42" s="1"/>
  <c r="G21" i="42"/>
  <c r="B19" i="42"/>
  <c r="B416" i="42"/>
  <c r="B390" i="42"/>
  <c r="B389" i="42"/>
  <c r="B388" i="42"/>
  <c r="B386" i="42"/>
  <c r="B385" i="42"/>
  <c r="B343" i="42"/>
  <c r="B330" i="42"/>
  <c r="B387" i="42"/>
  <c r="B384" i="42"/>
  <c r="G382" i="42"/>
  <c r="B379" i="42"/>
  <c r="B13" i="42"/>
  <c r="E42" i="39"/>
  <c r="E40" i="39"/>
  <c r="B40" i="39"/>
  <c r="E39" i="39"/>
  <c r="E37" i="39"/>
  <c r="B37" i="39"/>
  <c r="B38" i="46" s="1"/>
  <c r="E33" i="39"/>
  <c r="E31" i="39"/>
  <c r="B302" i="39"/>
  <c r="B298" i="39"/>
  <c r="B279" i="39"/>
  <c r="B259" i="39"/>
  <c r="B241" i="39"/>
  <c r="B239" i="39"/>
  <c r="B235" i="39"/>
  <c r="B231" i="39"/>
  <c r="D29" i="58" s="1"/>
  <c r="B230" i="39"/>
  <c r="D28" i="58" s="1"/>
  <c r="B229" i="39"/>
  <c r="D27" i="58" s="1"/>
  <c r="B228" i="39"/>
  <c r="D26" i="58" s="1"/>
  <c r="B227" i="39"/>
  <c r="D25" i="58" s="1"/>
  <c r="B219" i="39"/>
  <c r="B218" i="39"/>
  <c r="E8" i="58" s="1"/>
  <c r="B217" i="39"/>
  <c r="E7" i="58" s="1"/>
  <c r="B216" i="39"/>
  <c r="E6" i="58" s="1"/>
  <c r="B215" i="39"/>
  <c r="E5" i="58" s="1"/>
  <c r="B214" i="39"/>
  <c r="E4" i="58" s="1"/>
  <c r="B210" i="39"/>
  <c r="B155" i="39"/>
  <c r="D140" i="39"/>
  <c r="B136" i="39"/>
  <c r="B108" i="39"/>
  <c r="B95" i="39"/>
  <c r="B54" i="39"/>
  <c r="F51" i="39"/>
  <c r="B46" i="39"/>
  <c r="E30" i="39"/>
  <c r="E28" i="39"/>
  <c r="E27" i="39"/>
  <c r="E25" i="39"/>
  <c r="B25" i="39"/>
  <c r="B21" i="39"/>
  <c r="B16" i="39"/>
  <c r="B14" i="42" s="1"/>
  <c r="B15" i="39"/>
  <c r="B14" i="39"/>
  <c r="B13" i="39"/>
  <c r="B12" i="39"/>
  <c r="B12" i="42" s="1"/>
  <c r="B282" i="39"/>
  <c r="H21" i="42" l="1"/>
  <c r="I21" i="42" s="1"/>
  <c r="H382" i="42"/>
  <c r="I382" i="42" s="1"/>
  <c r="B225" i="39" l="1"/>
  <c r="B254" i="39"/>
  <c r="B250" i="39"/>
  <c r="B246" i="39"/>
  <c r="B242" i="39"/>
  <c r="B238" i="39"/>
  <c r="K241" i="39" l="1"/>
  <c r="H241" i="39"/>
  <c r="I241" i="39"/>
  <c r="J241" i="39"/>
  <c r="L241" i="39"/>
  <c r="L296" i="39"/>
  <c r="K296" i="39"/>
  <c r="J296" i="39"/>
  <c r="I296" i="39"/>
  <c r="H296" i="39"/>
  <c r="G296" i="39"/>
  <c r="F296" i="39"/>
  <c r="L291" i="39"/>
  <c r="K291" i="39"/>
  <c r="J291" i="39"/>
  <c r="I291" i="39"/>
  <c r="H291" i="39"/>
  <c r="G291" i="39"/>
  <c r="F291" i="39"/>
  <c r="L286" i="39"/>
  <c r="K286" i="39"/>
  <c r="J286" i="39"/>
  <c r="I286" i="39"/>
  <c r="H286" i="39"/>
  <c r="G286" i="39"/>
  <c r="F286" i="39"/>
  <c r="L257" i="39"/>
  <c r="K257" i="39"/>
  <c r="J257" i="39"/>
  <c r="I257" i="39"/>
  <c r="H257" i="39"/>
  <c r="G257" i="39"/>
  <c r="F257" i="39"/>
  <c r="L253" i="39"/>
  <c r="K253" i="39"/>
  <c r="J253" i="39"/>
  <c r="I253" i="39"/>
  <c r="H253" i="39"/>
  <c r="G253" i="39"/>
  <c r="F253" i="39"/>
  <c r="L249" i="39"/>
  <c r="K249" i="39"/>
  <c r="J249" i="39"/>
  <c r="I249" i="39"/>
  <c r="H249" i="39"/>
  <c r="G249" i="39"/>
  <c r="F249" i="39"/>
  <c r="L245" i="39"/>
  <c r="K245" i="39"/>
  <c r="J245" i="39"/>
  <c r="I245" i="39"/>
  <c r="H245" i="39"/>
  <c r="G245" i="39"/>
  <c r="F245" i="39"/>
  <c r="H219" i="39" l="1"/>
  <c r="I219" i="39"/>
  <c r="G219" i="39"/>
  <c r="G212" i="39"/>
  <c r="H212" i="39" l="1"/>
  <c r="I212" i="39" s="1"/>
  <c r="G262" i="39" s="1"/>
  <c r="G268" i="39" s="1"/>
  <c r="B81" i="39" l="1"/>
  <c r="B67" i="39"/>
  <c r="G48" i="39"/>
  <c r="I42" i="39"/>
  <c r="H42" i="39"/>
  <c r="G42" i="39"/>
  <c r="I39" i="39"/>
  <c r="H39" i="39"/>
  <c r="G39" i="39"/>
  <c r="I26" i="39"/>
  <c r="I25" i="39"/>
  <c r="H26" i="39"/>
  <c r="H25" i="39"/>
  <c r="I33" i="39"/>
  <c r="H33" i="39"/>
  <c r="G33" i="39"/>
  <c r="B31" i="39"/>
  <c r="B37" i="46" s="1"/>
  <c r="B142" i="39"/>
  <c r="G138" i="39"/>
  <c r="G23" i="39"/>
  <c r="B28" i="39"/>
  <c r="B36" i="46" s="1"/>
  <c r="I30" i="39"/>
  <c r="H30" i="39"/>
  <c r="G30" i="39"/>
  <c r="G27" i="39"/>
  <c r="B100" i="37"/>
  <c r="B86" i="37"/>
  <c r="B72" i="37"/>
  <c r="B46" i="37"/>
  <c r="B33" i="37"/>
  <c r="B29" i="37"/>
  <c r="B28" i="37"/>
  <c r="F27" i="37"/>
  <c r="B27" i="37"/>
  <c r="F26" i="37"/>
  <c r="B26" i="37"/>
  <c r="F25" i="37"/>
  <c r="B25" i="37"/>
  <c r="H24" i="37"/>
  <c r="I24" i="37"/>
  <c r="G24" i="37"/>
  <c r="G50" i="39" s="1"/>
  <c r="B24" i="37"/>
  <c r="F24" i="37"/>
  <c r="F21" i="37"/>
  <c r="F23" i="42" s="1"/>
  <c r="B21" i="37"/>
  <c r="B23" i="42" s="1"/>
  <c r="G19" i="37"/>
  <c r="B15" i="37"/>
  <c r="P10" i="37"/>
  <c r="B10" i="37" s="1"/>
  <c r="H50" i="39" l="1"/>
  <c r="I50" i="39"/>
  <c r="I51" i="39" s="1"/>
  <c r="E35" i="46"/>
  <c r="G51" i="39"/>
  <c r="I28" i="37"/>
  <c r="G35" i="46"/>
  <c r="H28" i="37"/>
  <c r="F35" i="46"/>
  <c r="I114" i="42"/>
  <c r="I113" i="42"/>
  <c r="H51" i="39"/>
  <c r="H114" i="42"/>
  <c r="H113" i="42"/>
  <c r="B10" i="43"/>
  <c r="B10" i="42"/>
  <c r="B10" i="39"/>
  <c r="G28" i="37"/>
  <c r="G26" i="37"/>
  <c r="G29" i="37" s="1"/>
  <c r="I26" i="37"/>
  <c r="I29" i="37" s="1"/>
  <c r="H26" i="37"/>
  <c r="H29" i="37" s="1"/>
  <c r="P5" i="44"/>
  <c r="G114" i="42"/>
  <c r="G113" i="42"/>
  <c r="I27" i="39"/>
  <c r="H27" i="39"/>
  <c r="H48" i="39"/>
  <c r="I48" i="39" s="1"/>
  <c r="H138" i="39"/>
  <c r="I138" i="39" s="1"/>
  <c r="H23" i="39"/>
  <c r="B59" i="37"/>
  <c r="H19" i="37"/>
  <c r="I19" i="37" s="1"/>
  <c r="F301" i="39" l="1"/>
  <c r="F307" i="39" s="1"/>
  <c r="B5" i="49"/>
  <c r="I23" i="39"/>
  <c r="H301" i="39" s="1"/>
  <c r="H307" i="39" s="1"/>
  <c r="B5" i="52" l="1"/>
  <c r="B5" i="53"/>
  <c r="B5" i="45"/>
  <c r="B5" i="43"/>
  <c r="B5" i="37"/>
  <c r="B5" i="44"/>
  <c r="B5" i="39"/>
  <c r="B5" i="46"/>
  <c r="B5" i="47"/>
  <c r="B5" i="42"/>
  <c r="G301" i="39"/>
  <c r="G307"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EE62EA2-6E0B-4EA8-96D5-245052E419B1}">
      <text>
        <r>
          <rPr>
            <sz val="9"/>
            <color indexed="81"/>
            <rFont val="Tahoma"/>
            <family val="2"/>
          </rPr>
          <t>If there is more than one type (i.e. dumping for China, dumping &amp; subsidizing for Korea), you must manually modify the Intro paragraph.</t>
        </r>
      </text>
    </comment>
    <comment ref="A17" authorId="0" shapeId="0" xr:uid="{DD3C50B1-1036-4DD5-9DD0-55D6698CB983}">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tc={C2DFEFF6-3FAF-435F-A853-6FAB42FA190F}</author>
  </authors>
  <commentList>
    <comment ref="B8" authorId="0" shapeId="0" xr:uid="{C2DFEFF6-3FAF-435F-A853-6FAB42FA190F}">
      <text>
        <t>[Threaded comment]
Your version of Excel allows you to read this threaded comment; however, any edits to it will get removed if the file is opened in a newer version of Excel. Learn more: https://go.microsoft.com/fwlink/?linkid=870924
Comment:
    Edit size of boxes to allow room to reply</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<sst xmlns="http://schemas.openxmlformats.org/spreadsheetml/2006/main" count="1705" uniqueCount="1078">
  <si>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</si>
  <si>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</si>
  <si>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</si>
  <si>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</si>
  <si>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</si>
  <si>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</si>
  <si>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</si>
  <si>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</si>
  <si>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</si>
  <si>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</si>
  <si>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</si>
  <si>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</si>
  <si>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</si>
  <si>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</si>
  <si>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</si>
  <si>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</si>
  <si>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</si>
  <si>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</si>
  <si>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</si>
  <si>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</si>
  <si>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</si>
  <si>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</si>
  <si>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</si>
  <si>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</si>
  <si>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</si>
  <si>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</si>
  <si>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</si>
  <si>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</si>
  <si>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</si>
  <si>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</si>
  <si>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</si>
  <si>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</si>
  <si>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</si>
  <si>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</si>
  <si>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</si>
  <si>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</si>
  <si>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</si>
  <si>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</si>
  <si>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</si>
  <si>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</si>
  <si>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</si>
  <si>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</si>
  <si>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</si>
  <si>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</si>
  <si>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</si>
  <si>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</si>
  <si>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</si>
  <si>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</si>
  <si>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</si>
  <si>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</si>
  <si>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</si>
  <si>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</si>
  <si>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</si>
  <si>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</si>
  <si>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</si>
  <si>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</si>
  <si>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</si>
  <si>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</si>
  <si>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</si>
  <si>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</si>
  <si>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</si>
  <si>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</si>
  <si>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</si>
  <si>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</si>
  <si>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</si>
  <si>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</si>
  <si>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</si>
  <si>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</si>
  <si>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</si>
  <si>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</si>
  <si>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</si>
  <si>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</si>
  <si>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</si>
  <si>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</si>
  <si>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</si>
  <si>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</si>
  <si>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</si>
  <si>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</si>
  <si>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</si>
  <si>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</si>
  <si>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</si>
  <si>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</si>
  <si>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</si>
  <si>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</si>
  <si>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</si>
  <si>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</si>
  <si>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</si>
  <si>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</si>
  <si>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</si>
  <si>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</si>
  <si>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</si>
  <si>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</si>
  <si>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</si>
  <si>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</si>
  <si>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</si>
  <si>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</si>
  <si>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INJURY ALLEGATIONS</t>
  </si>
  <si>
    <t xml:space="preserve"> ALLÉGATIONS DE DOMMAGE</t>
  </si>
  <si>
    <t>NOTE:</t>
  </si>
  <si>
    <t>NOTE :</t>
  </si>
  <si>
    <t>Nunavut, Yukon and Northwest Territories</t>
  </si>
  <si>
    <t>Alberta and British Columbia</t>
  </si>
  <si>
    <t>Manitoba and Saskatchewan</t>
  </si>
  <si>
    <t xml:space="preserve">Quebec and Ontario </t>
  </si>
  <si>
    <t>Atlantic Provinces</t>
  </si>
  <si>
    <t>Provinces de l’Atlantique</t>
  </si>
  <si>
    <t>Québec et Ontario</t>
  </si>
  <si>
    <t xml:space="preserve">Manitoba et Saskatchewan </t>
  </si>
  <si>
    <t>Alberta et Colombie-Britannique</t>
  </si>
  <si>
    <t>Nunavut, Yukon et Territoires du Nord-Ouest</t>
  </si>
  <si>
    <t>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</si>
  <si>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</si>
  <si>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</si>
  <si>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</si>
  <si>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</si>
  <si>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</si>
  <si>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Account 1</t>
  </si>
  <si>
    <t>Client 1</t>
  </si>
  <si>
    <t>Account 2</t>
  </si>
  <si>
    <t>Client 2</t>
  </si>
  <si>
    <t>Account 3</t>
  </si>
  <si>
    <t>Client 3</t>
  </si>
  <si>
    <t>Account 4</t>
  </si>
  <si>
    <t>Client 4</t>
  </si>
  <si>
    <t>Account 5</t>
  </si>
  <si>
    <t>Client 5</t>
  </si>
  <si>
    <t>VENTES AU CANADA DE LA PRODUCTION NATIONALE À VOS CINQ PLUS IMPORTANTS CLIENTS</t>
  </si>
  <si>
    <t>SALES IN CANADA OF DOMESTIC PRODUCTION TO TOP FIVE ACCOUNTS</t>
  </si>
  <si>
    <t>Total production of the goods</t>
  </si>
  <si>
    <t>Production totale des marchandises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</si>
  <si>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</si>
  <si>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</si>
  <si>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</si>
  <si>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</si>
  <si>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</si>
  <si>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</si>
  <si>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</si>
  <si>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</si>
  <si>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</si>
  <si>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</si>
  <si>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</si>
  <si>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Competitor's Offer</t>
  </si>
  <si>
    <t>Nature of Alleged Injury (P)</t>
  </si>
  <si>
    <t>Nature du dommage allégué (P)</t>
  </si>
  <si>
    <t>Product Description (P)</t>
  </si>
  <si>
    <t>Description du produit (P)</t>
  </si>
  <si>
    <t>Date of Transaction (P)</t>
  </si>
  <si>
    <t>Date de la transaction (P)</t>
  </si>
  <si>
    <t>Country of Origin (P)</t>
  </si>
  <si>
    <t>Pays d'origine (P)</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</si>
  <si>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</si>
  <si>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</si>
  <si>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</si>
  <si>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</si>
  <si>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</si>
  <si>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</si>
  <si>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</si>
  <si>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</si>
  <si>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</si>
  <si>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</si>
  <si>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</si>
  <si>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</si>
  <si>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</si>
  <si>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</si>
  <si>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</si>
  <si>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</si>
  <si>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</si>
  <si>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Français</t>
  </si>
  <si>
    <t>protégé</t>
  </si>
  <si>
    <t>protected</t>
  </si>
  <si>
    <t>producers' questionnaire</t>
  </si>
  <si>
    <t>questionnaire à l'intention des producteurs</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</si>
  <si>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</si>
  <si>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</si>
  <si>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</si>
  <si>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</si>
  <si>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</si>
  <si>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</si>
  <si>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</si>
  <si>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</si>
  <si>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</si>
  <si>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</si>
  <si>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</si>
  <si>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</si>
  <si>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</si>
  <si>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</si>
  <si>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</si>
  <si>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</si>
  <si>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</si>
  <si>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</si>
  <si>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</si>
  <si>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</si>
  <si>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Complete the following table for your firm's Canadian sales and inventories of the goods.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</si>
  <si>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</si>
  <si>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</si>
  <si>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</si>
  <si>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</si>
  <si>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</si>
  <si>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</si>
  <si>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</si>
  <si>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</si>
  <si>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</si>
  <si>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</si>
  <si>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</si>
  <si>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</si>
  <si>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</si>
  <si>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</si>
  <si>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</si>
  <si>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</si>
  <si>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</si>
  <si>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</si>
  <si>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</si>
  <si>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</si>
  <si>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</si>
  <si>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</si>
  <si>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</si>
  <si>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</si>
  <si>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</si>
  <si>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</si>
  <si>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</si>
  <si>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</si>
  <si>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</si>
  <si>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</si>
  <si>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</si>
  <si>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</si>
  <si>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</si>
  <si>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</si>
  <si>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</si>
  <si>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</si>
  <si>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</si>
  <si>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</si>
  <si>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</si>
  <si>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</si>
  <si>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</si>
  <si>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</si>
  <si>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</si>
  <si>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</si>
  <si>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</si>
  <si>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</si>
  <si>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</si>
  <si>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</si>
  <si>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</si>
  <si>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</si>
  <si>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</si>
  <si>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</si>
  <si>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</si>
  <si>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</si>
  <si>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</si>
  <si>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</si>
  <si>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</si>
  <si>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</si>
  <si>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</si>
  <si>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</si>
  <si>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</si>
  <si>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</si>
  <si>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</si>
  <si>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</si>
  <si>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</si>
  <si>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</si>
  <si>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t>
  </si>
  <si>
    <t>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t>
  </si>
  <si>
    <t>Allegation</t>
  </si>
  <si>
    <t>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t>
  </si>
  <si>
    <t>General Information</t>
  </si>
  <si>
    <t>Renseignements généraux</t>
  </si>
  <si>
    <t>Name of Account (LD)</t>
  </si>
  <si>
    <t>Nom du client (LD)</t>
  </si>
  <si>
    <t>Address (LD)</t>
  </si>
  <si>
    <t>Adresse (LD)</t>
  </si>
  <si>
    <t>Trade Level (LD)</t>
  </si>
  <si>
    <t>Domestic Producer's Offer</t>
  </si>
  <si>
    <t>Offre du producteur national</t>
  </si>
  <si>
    <t>Offre du concurrent</t>
  </si>
  <si>
    <t>Name of Competitor (LD)</t>
  </si>
  <si>
    <t>Nom du concurrent (LD)</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</si>
  <si>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</si>
  <si>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</si>
  <si>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</si>
  <si>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</si>
  <si>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</si>
  <si>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</si>
  <si>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</si>
  <si>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</si>
  <si>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</si>
  <si>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</si>
  <si>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</si>
  <si>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</si>
  <si>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</si>
  <si>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</si>
  <si>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</si>
  <si>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</si>
  <si>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</si>
  <si>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</si>
  <si>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</si>
  <si>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</si>
  <si>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</si>
  <si>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</si>
  <si>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</si>
  <si>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</si>
  <si>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</si>
  <si>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</si>
  <si>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</si>
  <si>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</si>
  <si>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</si>
  <si>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</si>
  <si>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</si>
  <si>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</si>
  <si>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</si>
  <si>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</si>
  <si>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</si>
  <si>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</si>
  <si>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</si>
  <si>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</si>
  <si>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</si>
  <si>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</si>
  <si>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</si>
  <si>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</si>
  <si>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</si>
  <si>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</si>
  <si>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</si>
  <si>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</si>
  <si>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</si>
  <si>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</si>
  <si>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</si>
  <si>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</si>
  <si>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</si>
  <si>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</si>
  <si>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</si>
  <si>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</si>
  <si>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</si>
  <si>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</si>
  <si>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</si>
  <si>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</si>
  <si>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</si>
  <si>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</si>
  <si>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</si>
  <si>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</si>
  <si>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 xml:space="preserve">If any of the calculated capacity utilization rates are higher than 100%, explain why this has occurred.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</si>
  <si>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</si>
  <si>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</si>
  <si>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</si>
  <si>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</si>
  <si>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</si>
  <si>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</si>
  <si>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</si>
  <si>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</si>
  <si>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</si>
  <si>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</si>
  <si>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</si>
  <si>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</si>
  <si>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</si>
  <si>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</si>
  <si>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</si>
  <si>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</si>
  <si>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</si>
  <si>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</si>
  <si>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</si>
  <si>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</si>
  <si>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</si>
  <si>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</si>
  <si>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Indiquez le volume et la valeur des ventes intérieures provenant de la production nationale pour chaque produit de référence :</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</si>
  <si>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</si>
  <si>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</si>
  <si>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</si>
  <si>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t>
  </si>
  <si>
    <t>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</si>
  <si>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</si>
  <si>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</si>
  <si>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</si>
  <si>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</si>
  <si>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</si>
  <si>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</si>
  <si>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</si>
  <si>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</si>
  <si>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</si>
  <si>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</si>
  <si>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</si>
  <si>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</si>
  <si>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</si>
  <si>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La capacité pratique des usines
</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</si>
  <si>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</si>
  <si>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</si>
  <si>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</si>
  <si>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</si>
  <si>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</si>
  <si>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Dans le tableau ci-dessous, « Erreur » signifie que le total des ventes des produits de référence de votre entreprise dépasse le total des ventes nationales de votre entreprise pour cette période. Par conséquent, veuillez modifier les données ci-dessus.</t>
  </si>
  <si>
    <t>Describe your firm's plans to manage financial performance in the next two years. Provide the rationale and assumptions underlying these strategies and objectives.</t>
  </si>
  <si>
    <t>Note: Public/non-confidential information in this table is automatically generated from the information provided in the rows denoted with a (P) in the "Pro 4" tab. Any changes to this public summary must therefore be made in the "Pro 4" tab.</t>
  </si>
  <si>
    <t>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t>
  </si>
  <si>
    <t>These allegations should be detailed, concrete, substantiated and verifiable. However, they should be limited in number to a sample of no more than 10, which is reasonably representative of the nature of the injury that is being alleged.</t>
  </si>
  <si>
    <t>Ces allégations doivent être détaillées, concrètes, fondées et vérifiables. Toutefois, l’échantillon choisi doit consister en un maximum de 10 exemples raisonnables de la nature du prétendu dommage.</t>
  </si>
  <si>
    <t>For additional details, view the "Info" tab.</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</si>
  <si>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</si>
  <si>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</si>
  <si>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</si>
  <si>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</si>
  <si>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</si>
  <si>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</si>
  <si>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Pour plus de détails, consultez l’onglet « Info ».</t>
  </si>
  <si>
    <t>DATE D’ÉCHÉANCE DU QUESTIONNAIRE</t>
  </si>
  <si>
    <t>Adresse de l’entreprise</t>
  </si>
  <si>
    <t>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</si>
  <si>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</si>
  <si>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</si>
  <si>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</si>
  <si>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</si>
  <si>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</si>
  <si>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</si>
  <si>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</si>
  <si>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</si>
  <si>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</si>
  <si>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</si>
  <si>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</si>
  <si>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</si>
  <si>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</si>
  <si>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</si>
  <si>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Describe your firm’s plans to manage inventory levels, in the next two years. Provide the rationale and assumptions underlying these strategies and objectives.</t>
  </si>
  <si>
    <t>In the table below, “Error” means that the total sales to your firm’s top five accounts for that period exceed your firm’s total domestic sales for that period. Therefore, please modify the above data.</t>
  </si>
  <si>
    <t>In the table below, “Error” means that the total sales to your firm's benchmark products exceed your firm's total domestic sales for that period. Therefore, please modify the above data.</t>
  </si>
  <si>
    <t xml:space="preserve">Report the volume and value of domestic sales from domestic production for each account listed below: </t>
  </si>
  <si>
    <t xml:space="preserve">Report the volume and value of domestic sales from domestic production for each benchmark product listed below: </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</si>
  <si>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</si>
  <si>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</si>
  <si>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</si>
  <si>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</si>
  <si>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</si>
  <si>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</si>
  <si>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</si>
  <si>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</si>
  <si>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</si>
  <si>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</si>
  <si>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</si>
  <si>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</si>
  <si>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</si>
  <si>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Unaccounted</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</si>
  <si>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</si>
  <si>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</si>
  <si>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</si>
  <si>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</si>
  <si>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</si>
  <si>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</si>
  <si>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</si>
  <si>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</si>
  <si>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</si>
  <si>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</si>
  <si>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</si>
  <si>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</si>
  <si>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</si>
  <si>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</si>
  <si>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</si>
  <si>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</si>
  <si>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</si>
  <si>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</si>
  <si>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</si>
  <si>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</si>
  <si>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</si>
  <si>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</si>
  <si>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</si>
  <si>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</si>
  <si>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</si>
  <si>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</si>
  <si>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</si>
  <si>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</si>
  <si>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</si>
  <si>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</si>
  <si>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</si>
  <si>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</si>
  <si>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</si>
  <si>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</si>
  <si>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</si>
  <si>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</si>
  <si>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</si>
  <si>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</si>
  <si>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</si>
  <si>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</si>
  <si>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</si>
  <si>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</si>
  <si>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</si>
  <si>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</si>
  <si>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</si>
  <si>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</si>
  <si>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</si>
  <si>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</si>
  <si>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</si>
  <si>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</si>
  <si>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</si>
  <si>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</si>
  <si>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</si>
  <si>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</si>
  <si>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</si>
  <si>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</si>
  <si>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</si>
  <si>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</si>
  <si>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</si>
  <si>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</si>
  <si>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</si>
  <si>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</si>
  <si>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</si>
  <si>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</si>
  <si>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</si>
  <si>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</si>
  <si>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</si>
  <si>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</si>
  <si>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</si>
  <si>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</si>
  <si>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</si>
  <si>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</si>
  <si>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</si>
  <si>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</si>
  <si>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</si>
  <si>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</si>
  <si>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</si>
  <si>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</si>
  <si>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</si>
  <si>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</si>
  <si>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</si>
  <si>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</si>
  <si>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</si>
  <si>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</si>
  <si>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</si>
  <si>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</si>
  <si>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</si>
  <si>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</si>
  <si>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</si>
  <si>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</si>
  <si>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</si>
  <si>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</si>
  <si>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</si>
  <si>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</si>
  <si>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</si>
  <si>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</si>
  <si>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</si>
  <si>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</si>
  <si>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</si>
  <si>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</si>
  <si>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</si>
  <si>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</si>
  <si>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</si>
  <si>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</si>
  <si>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</si>
  <si>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</si>
  <si>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</si>
  <si>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</si>
  <si>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</si>
  <si>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</si>
  <si>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</si>
  <si>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</si>
  <si>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</si>
  <si>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</si>
  <si>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</si>
  <si>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</si>
  <si>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</si>
  <si>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</si>
  <si>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</si>
  <si>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</si>
  <si>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</si>
  <si>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</si>
  <si>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</si>
  <si>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A</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</si>
  <si>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</si>
  <si>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</si>
  <si>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</si>
  <si>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</si>
  <si>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</si>
  <si>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</si>
  <si>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</si>
  <si>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</si>
  <si>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</si>
  <si>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</si>
  <si>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</si>
  <si>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</si>
  <si>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Trade Level 2 (plural)</t>
  </si>
  <si>
    <t>First Year of POI</t>
  </si>
  <si>
    <t>Last Day of POI</t>
  </si>
  <si>
    <t>Last Year of POI</t>
  </si>
  <si>
    <t>BMP4</t>
  </si>
  <si>
    <t>BMP5</t>
  </si>
  <si>
    <t>BMP6</t>
  </si>
  <si>
    <t>BMP7</t>
  </si>
  <si>
    <t>BMP8</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</si>
  <si>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</si>
  <si>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</si>
  <si>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</si>
  <si>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</si>
  <si>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</si>
  <si>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</si>
  <si>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</si>
  <si>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</si>
  <si>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</si>
  <si>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</si>
  <si>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</si>
  <si>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</si>
  <si>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</si>
  <si>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</si>
  <si>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</si>
  <si>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Si l'un ou l'autre des taux d'utilisation de la capacité, tel que calculé, est supérieur à 100 %, expliquez.</t>
  </si>
  <si>
    <t>Déclarez le volume et la valeur des ventes intérieures provenant de la production nationale pour chaque client indiqué ci-dessous :</t>
  </si>
  <si>
    <t>Stock de clôture</t>
  </si>
  <si>
    <t>Non Imputé</t>
  </si>
  <si>
    <t>Dans le tableau ci-dessous, « Erreur » signifie que le total des ventes des cinq principaux clients de votre entreprise pour cette période dépasse le total des ventes nationales de votre entreprise pour cette période. Par conséquent, veuillez modifier les données ci-dessus.</t>
  </si>
  <si>
    <t>Stock de clôture des marchandises en cours de fabrication</t>
  </si>
  <si>
    <t>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t>
  </si>
  <si>
    <t>Niveau commercial (LD)</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</si>
  <si>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</si>
  <si>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</si>
  <si>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</si>
  <si>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</si>
  <si>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</si>
  <si>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Subject Countries (incl. French pronouns)</t>
  </si>
  <si>
    <t>Additional Product Info</t>
  </si>
  <si>
    <t>Analyst 1</t>
  </si>
  <si>
    <t>Analyst 2</t>
  </si>
  <si>
    <t>Unit of measure (plural)</t>
  </si>
  <si>
    <t>tonnes</t>
  </si>
  <si>
    <t>Unit of measure (singular)</t>
  </si>
  <si>
    <t>tonne</t>
  </si>
  <si>
    <t>end users</t>
  </si>
  <si>
    <t>Benchmark Product 1</t>
  </si>
  <si>
    <t>Benchmark Product 2</t>
  </si>
  <si>
    <t>Benchmark Product 3</t>
  </si>
  <si>
    <t>Benchmark Product 4</t>
  </si>
  <si>
    <t>Benchmark Product 5</t>
  </si>
  <si>
    <t>Benchmark Product 6</t>
  </si>
  <si>
    <t>Benchmark Product 7</t>
  </si>
  <si>
    <t>Benchmark Product 8</t>
  </si>
  <si>
    <t>Important notes for formatting</t>
  </si>
  <si>
    <t>Insert and merge rows where needed to expand height of text boxes.</t>
  </si>
  <si>
    <t>PRODUCERS' QUESTIONNAIRE | QUESTIONNAIRE À L’INTENTION DES PRODUCTEURS</t>
  </si>
  <si>
    <t>INTRODUCTION</t>
  </si>
  <si>
    <t>LANGUAGE PREFERENCE | PRÉFÉRENCE LINGUISTIQUE</t>
  </si>
  <si>
    <t>DEFINITION OF "THE GOODS"</t>
  </si>
  <si>
    <t>LA DÉFINITION "DES MARCHANDISES"</t>
  </si>
  <si>
    <t>DO YOU NEED TO COMPLETE THIS QUESTIONNAIRE?</t>
  </si>
  <si>
    <t>Instructions</t>
  </si>
  <si>
    <t>N/A</t>
  </si>
  <si>
    <t>FAILURE TO COMPLETE QUESTIONNAIRE</t>
  </si>
  <si>
    <t>QUESTIONNAIRE NON REMPLI</t>
  </si>
  <si>
    <t>QUESTIONS</t>
  </si>
  <si>
    <t>PRODUCERS' QUESTIONNAIRE</t>
  </si>
  <si>
    <t>QUESTIONNAIRE À L’INTENTION DES PRODUCTEURS</t>
  </si>
  <si>
    <t>QUESTIONNAIRE OUTLINE</t>
  </si>
  <si>
    <t>APERÇU DU QUESTIONNAIRE</t>
  </si>
  <si>
    <t>ADDITIONAL PRODUCT INFORMATION</t>
  </si>
  <si>
    <t>RENSEIGNEMENTS ADDITIONNELS SUR LE PRODUIT</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</si>
  <si>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</si>
  <si>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after the deduction of returns, allowances for damaged or missing goods and any discounts, rebates and incentives offered.</t>
  </si>
  <si>
    <t>La valeur de vos ventes après déduction des retours, rabais pour marchandises endommagées ou manquantes et tous rabais, escomptes et incitatifs offerts.</t>
  </si>
  <si>
    <t>GENERAL FIRM INFORMATION</t>
  </si>
  <si>
    <t>INFORMATIONS GÉNÉRALES SUR L'ENTREPRISE</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</si>
  <si>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</si>
  <si>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</si>
  <si>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</si>
  <si>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</si>
  <si>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</si>
  <si>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</si>
  <si>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</si>
  <si>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</si>
  <si>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</si>
  <si>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</si>
  <si>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</si>
  <si>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</si>
  <si>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REGIONAL SALES</t>
  </si>
  <si>
    <t>VENTES RÉGIONALES</t>
  </si>
  <si>
    <t>• Report only sales of your firm’s production in Canada. Sales of goods purchased from other Canadian producers should be excluded.</t>
  </si>
  <si>
    <t xml:space="preserve">• Indiquez seulement les ventes effectuées à partir de la production de votre entreprise au Canada. Les ventes de marchandises achetées auprès d’autres producteurs canadiens doivent être exclues. </t>
  </si>
  <si>
    <t>GLOSSARY</t>
  </si>
  <si>
    <t>GLOSSAIRE</t>
  </si>
  <si>
    <t>PRODUCTION AND SALES</t>
  </si>
  <si>
    <t>PRODUCTION ET VENTES</t>
  </si>
  <si>
    <t>GENERAL</t>
  </si>
  <si>
    <t>GÉNÉRAL</t>
  </si>
  <si>
    <t/>
  </si>
  <si>
    <t>Les marchandises sont généralement classées dans le Tarif des douanes sous les numéros suivants du Système harmonisé de désignation et de codification des marchandises (SH) :</t>
  </si>
  <si>
    <t>The undersigned certifies that the information supplied herein is complete and correct to the best of their knowledge and belief.</t>
  </si>
  <si>
    <t>Le soussigné déclare que, pour autant qu’il sache, les renseignements fournis aux présentes sont complets et exacts.</t>
  </si>
  <si>
    <t>2. Par courriel à l’adresse tcce-citt@tribunal.gc.ca si vous acceptez les risques connexes et vous transmettez des renseignements qui sont ceux de votre entreprise seulement.</t>
  </si>
  <si>
    <t>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t>
  </si>
  <si>
    <t>Event</t>
  </si>
  <si>
    <t>Événement</t>
  </si>
  <si>
    <t>Sélectionnez oui ou non</t>
  </si>
  <si>
    <t>NEGATIVE EFFECTS OF IMPORTS</t>
  </si>
  <si>
    <t>EFFETS NÉGATIFS DES IMPORTATIONS</t>
  </si>
  <si>
    <t>Yes</t>
  </si>
  <si>
    <t>No</t>
  </si>
  <si>
    <t>Oui</t>
  </si>
  <si>
    <t>Non</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</si>
  <si>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</si>
  <si>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</si>
  <si>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</si>
  <si>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Question 27</t>
  </si>
  <si>
    <t>Intro, Pro4 Question 1</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</si>
  <si>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</si>
  <si>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SALES IN CANADA OF DOMESTIC PRODUCTION OF BENCHMARK PRODUCTS</t>
  </si>
  <si>
    <t>VENTES AU CANADA DE LA PRODUCTION NATIONALE DE PRODUITS DE RÉFÉRENCE</t>
  </si>
  <si>
    <t>DEVEZ-VOUS REMPLIR CE QUESTIONNAIRE?</t>
  </si>
  <si>
    <t>Remplir le tableau suivant pour les ventes et les stocks des marchandises par votre entreprise.</t>
  </si>
  <si>
    <t>les pays sujets</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</si>
  <si>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</si>
  <si>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</si>
  <si>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</si>
  <si>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</si>
  <si>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Votre entreprise s'occupe de la livraison mais les frais de livraison sont facturés séparément à l’acheteur.</t>
  </si>
  <si>
    <t>Votre entreprise s'occupe de la livraison et les frais de livraison sont inclus dans le prix de vente.</t>
  </si>
  <si>
    <t>Si le volume du stock de clôture à la question 1 sur l'onglet Pro 2 diffère du stock de clôture calculé, expliquez pourquoi il y a une différence.</t>
  </si>
  <si>
    <t>Importe les marchandises de n’importe quel pays en tant qu’importateur officiel</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</si>
  <si>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</si>
  <si>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utilisateurs finals</t>
  </si>
  <si>
    <t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t>
  </si>
  <si>
    <t>Type d'affiliation</t>
  </si>
  <si>
    <t>Indiquez dans quels segments de marché ces marchandises sont vendues.</t>
  </si>
  <si>
    <t>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t>
  </si>
  <si>
    <t>Volume de production par heure d'emploi direct travaillée</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</si>
  <si>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</si>
  <si>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</si>
  <si>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</si>
  <si>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</si>
  <si>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</si>
  <si>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Describe "Other expenses".</t>
  </si>
  <si>
    <t>Décrire les "Autres dépenses".</t>
  </si>
  <si>
    <t>Explain any large changes between periods and any irregularities such as negative amounts in the amounts reported above.</t>
  </si>
  <si>
    <t>Does the total ending inventory reported in this question differ from the total ending inventory reported in question 1 of the Pro 2 tab?</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</si>
  <si>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</si>
  <si>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</si>
  <si>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Pro 3, Question 9</t>
  </si>
  <si>
    <t>Yes, modify the amounts or explain below.</t>
  </si>
  <si>
    <t>When adding or modifying columns, please ensure the total of all column widths in a tab equals 1760 pixels to allow for consistent scaling when exported to PDF.</t>
  </si>
  <si>
    <t>i.e. columns B-L should be 160 pixels each.</t>
  </si>
  <si>
    <t>GRADES</t>
  </si>
  <si>
    <t>Steel Grade</t>
  </si>
  <si>
    <t>Nuance d'acier</t>
  </si>
  <si>
    <t>Finish
(i.e. Bare or Coated)</t>
  </si>
  <si>
    <t>Traitement de la surface 
(c.-à.d. recouverts ou non recouverts)</t>
  </si>
  <si>
    <t>Minimum</t>
  </si>
  <si>
    <t>Maximum</t>
  </si>
  <si>
    <t>Sold in Canada or exported</t>
  </si>
  <si>
    <t>Vendus au Canada ou exportés</t>
  </si>
  <si>
    <t>Outside Diameter (mm)</t>
  </si>
  <si>
    <t>Diamètre extérieur (mm)</t>
  </si>
  <si>
    <t>Wall Thickness (mm)</t>
  </si>
  <si>
    <t>Épaisseur de la paroi (mm)</t>
  </si>
  <si>
    <t>Length (m)</t>
  </si>
  <si>
    <t>Longueur (m)</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</si>
  <si>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</si>
  <si>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</si>
  <si>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</si>
  <si>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</si>
  <si>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</si>
  <si>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</si>
  <si>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</si>
  <si>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</si>
  <si>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</si>
  <si>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</si>
  <si>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</si>
  <si>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</si>
  <si>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</si>
  <si>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</si>
  <si>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(For Sale in Canada) reported in this question differ from the net delivered selling values (For Sale in Canada) reported in question 1 of the Pro 2 tab?</t>
  </si>
  <si>
    <t>Does the net sales value (For Export Sales) reported in this question differ from the net delivered selling values (For Export Sales) reported in question 1 of the Pro 2 tab?</t>
  </si>
  <si>
    <t>La valeur des ventes nettes (pour les ventes au Canada) déclarée dans cette question diffère-t-elle des valeurs des ventes nettes rendues déclarées (pour les ventes au Canada) à la question 1 de l'onglet Pro 2?</t>
  </si>
  <si>
    <t>La valeur des ventes nettes (pour les ventes à l'exportation) déclarée dans cette question diffère-t-elle des valeurs des ventes nettes rendues déclarées (pour les ventes à l'exportation) à la question 1 de l'onglet Pro 2?</t>
  </si>
  <si>
    <t>Verification - volume</t>
  </si>
  <si>
    <t>Vérification - volume</t>
  </si>
  <si>
    <t>Verification - value</t>
  </si>
  <si>
    <t>Vérification - valeur</t>
  </si>
  <si>
    <t>volume - total domestic sales of domestic production to the top five accounts (Question 14)</t>
  </si>
  <si>
    <t>volume - total domestic sales of domestic production (Question 1)</t>
  </si>
  <si>
    <t>Error</t>
  </si>
  <si>
    <t>Erreur</t>
  </si>
  <si>
    <t>Okay</t>
  </si>
  <si>
    <t>Correct</t>
  </si>
  <si>
    <t>Pro 2 tab, Questions 14, 15</t>
  </si>
  <si>
    <t>Verification Tables (MODIFY AS PER CASE SPECIFICS)</t>
  </si>
  <si>
    <t>value - total domestic sales of domestic production to the top five accounts (Question 14)</t>
  </si>
  <si>
    <t>volume - total des ventes au Canada de la production nationale aux cinq principaux clients (Question 14)</t>
  </si>
  <si>
    <t>volume - total des ventes au Canada de la production nationale (Question 1)</t>
  </si>
  <si>
    <t>value - total domestic sales of domestic production (Question 1)</t>
  </si>
  <si>
    <t>valeur - total des ventes au Canada de la production nationale aux cinq principaux clients (Question 14)</t>
  </si>
  <si>
    <t>valeur - total des ventes au Canada de la production nationale (Question 1)</t>
  </si>
  <si>
    <t>volume - total domestic sales of domestic production of benchmark products (Question 15)</t>
  </si>
  <si>
    <t>volume - total des ventes au Canada de la production nationale de produits de référence (Question 15)</t>
  </si>
  <si>
    <t>valeur - total des ventes au Canada de la production nationale de produits de référence (Question 15)</t>
  </si>
  <si>
    <t>Number of hours worked</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</si>
  <si>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</si>
  <si>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</si>
  <si>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</si>
  <si>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</si>
  <si>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déclaré à la question 1 de l'onglet Pro 2?</t>
  </si>
  <si>
    <t>Select all that apply</t>
  </si>
  <si>
    <t>Sélectionnez toutes les réponses qui s'appliquent</t>
  </si>
  <si>
    <t>Benchmark Period 1</t>
  </si>
  <si>
    <t>Benchmark Period 2</t>
  </si>
  <si>
    <t>Benchmark Period 3</t>
  </si>
  <si>
    <t>Benchmark Period 4</t>
  </si>
  <si>
    <t>Benchmark Period 5</t>
  </si>
  <si>
    <t>Benchmark Period 6</t>
  </si>
  <si>
    <t>Benchmark Period 7</t>
  </si>
  <si>
    <t>Benchmark Period 8</t>
  </si>
  <si>
    <t>Last Quarter of POI (ie. 1, 2, 3, 4)</t>
  </si>
  <si>
    <t>Verification Period 1</t>
  </si>
  <si>
    <t>Verification Period 2</t>
  </si>
  <si>
    <t>Verification Period 3 (if applicable)</t>
  </si>
  <si>
    <t>q1</t>
  </si>
  <si>
    <t>q2</t>
  </si>
  <si>
    <t>q3</t>
  </si>
  <si>
    <t>q4</t>
  </si>
  <si>
    <t>jan-mar</t>
  </si>
  <si>
    <t>jan-jun</t>
  </si>
  <si>
    <t>jan-sep</t>
  </si>
  <si>
    <t>jan-dec</t>
  </si>
  <si>
    <t>jan</t>
  </si>
  <si>
    <t>feb</t>
  </si>
  <si>
    <t>mar</t>
  </si>
  <si>
    <t>apr</t>
  </si>
  <si>
    <t>may</t>
  </si>
  <si>
    <t>jun</t>
  </si>
  <si>
    <t>jul</t>
  </si>
  <si>
    <t>aug</t>
  </si>
  <si>
    <t>sep</t>
  </si>
  <si>
    <t>oct</t>
  </si>
  <si>
    <t>nov</t>
  </si>
  <si>
    <t>dec</t>
  </si>
  <si>
    <t>due month</t>
  </si>
  <si>
    <t>3 months prior</t>
  </si>
  <si>
    <t>last poi</t>
  </si>
  <si>
    <t>The goods are commonly classified in the Customs Tariff under the following Harmonized Commodity Description and Coding System (HS) numbers:</t>
  </si>
  <si>
    <t>Calculated ending inventory</t>
  </si>
  <si>
    <t>Stock de clôture calculé</t>
  </si>
  <si>
    <t>Difference between the reported ending inventory in Question 1 above and the calculated ending inventory</t>
  </si>
  <si>
    <t>Différence entre le stock de clôture déclaré à la question 1 ci-dessus et le stock de clôture calculé</t>
  </si>
  <si>
    <t>Does the total net sales value reported in this question exceed your firm's total net sales value reported in question 10 in this tab?</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</si>
  <si>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</si>
  <si>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</si>
  <si>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La valeur totale des ventes nettes déclarée dans cette question dépasse-t-elle la valeur totale des ventes nettes de votre entreprise déclarée à la question 10 de cet onglet?</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</si>
  <si>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</si>
  <si>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</si>
  <si>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</si>
  <si>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</si>
  <si>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</si>
  <si>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</si>
  <si>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Provide your firm's domestic sales volumes of the goods produced in Canada by region.</t>
  </si>
  <si>
    <t>Fournissez les volumes des ventes nationales des marchandises fabriquées au Canada par votre entreprise, par région.</t>
  </si>
  <si>
    <t>Expliquez toute variation importante entre les périodes et toute irrégularité tels que des montants négatifs dans les montants indiqués ci-dessus.</t>
  </si>
  <si>
    <t>Total - Materials</t>
  </si>
  <si>
    <t>Total - matériaux</t>
  </si>
  <si>
    <t>COST OF GOODS MANUFACTURED - FOR THE GOODS ONLY</t>
  </si>
  <si>
    <t>INCOME STATEMENT - FOR THE GOODS ONLY</t>
  </si>
  <si>
    <t>INCOME STATEMENT - FOR TOTAL FIRM</t>
  </si>
  <si>
    <t>ÉTAT DES RÉSULTATS - POUR L'ENSEMBLE DE L'ENTREPRISE</t>
  </si>
  <si>
    <t>Oui, modifiez les données ou expliquez ci-dessous.</t>
  </si>
  <si>
    <t>COÛT DES MARCHANDISES FABRIQUÉES - POUR LES MARCHANDISES SEULEMENT</t>
  </si>
  <si>
    <t>ÉTAT DES RÉSULTATS  - POUR LES MARCHANDISES SEULEMENT</t>
  </si>
  <si>
    <t>CONTACT INFORMATION OF THE PERSON WHO COMPLETED THIS QUESTIONNAIRE</t>
  </si>
  <si>
    <t>COORDONNÉES DE LA PERSONNE QUI A REMPLI LE QUESTIONNAIRE</t>
  </si>
  <si>
    <t>Name</t>
  </si>
  <si>
    <t>Nom</t>
  </si>
  <si>
    <t>Title</t>
  </si>
  <si>
    <t>Titre</t>
  </si>
  <si>
    <t>If your firm did not produce the goods, please explain.</t>
  </si>
  <si>
    <t>Si votre entreprise n'a pas produit les marchandises, veuillez expliquer.</t>
  </si>
  <si>
    <t>dumping and the subsidizing</t>
  </si>
  <si>
    <t>le dumping et le subventionnement</t>
  </si>
  <si>
    <t>Jan-Mar 2025</t>
  </si>
  <si>
    <t>Jan-Mar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</si>
  <si>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</si>
  <si>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</si>
  <si>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certain steel racks</t>
  </si>
  <si>
    <t>certains rayonnages en acier</t>
  </si>
  <si>
    <t>China</t>
  </si>
  <si>
    <t>March 31</t>
  </si>
  <si>
    <t>31 mars</t>
  </si>
  <si>
    <t>janv- mars 2025</t>
  </si>
  <si>
    <t>janv- mars 2026</t>
  </si>
  <si>
    <t>https://www.cbsa-asfc.gc.ca/sima-lmsi/i-e/rack2026/rack2026-in-eng.html#3-2</t>
  </si>
  <si>
    <t>https://www.cbsa-asfc.gc.ca/sima-lmsi/i-e/rack2026/rack2026-in-fra.html#3-2</t>
  </si>
  <si>
    <t>7326.90.90.90, 9403.20.00.70, 7308.90.00.60, 7308.90.00.99</t>
  </si>
  <si>
    <t>1er janvier 2026</t>
  </si>
  <si>
    <t xml:space="preserve">7308.90.00.60, 7308.90.00.61, 7308.90.00.62, 7308.90.00.63, 7308.90.00.64, 7308.90.00.68, 7308.90.00.69, 7308.90.00.70, 7308.90.00.99, 7326.90.90.90, 9403.20.00.70
</t>
  </si>
  <si>
    <t>January 1, 2026</t>
  </si>
  <si>
    <t>Apr-Dec 2024</t>
  </si>
  <si>
    <t>avril-déc. 2024</t>
  </si>
  <si>
    <t>de la Chine</t>
  </si>
  <si>
    <t>Roll formed step beam of 12–16 gauge steel, of any length, including beam connector/bracket, regardless of profile or connection type.</t>
  </si>
  <si>
    <t>Roll formed box beam of 12–16 gauge steel, of any length, including beam connector/bracket, regardless of profile or connection type.</t>
  </si>
  <si>
    <t>Roll formed safety bar, regardless of type/style (universal, clip-in, snap-in, hook-over, welded or other), dimensions or configuration.</t>
  </si>
  <si>
    <t>Poutre à gradin formée à froid  en acier de calibre 12 à 16, de toute longueur, incluant le connecteur/support de poutre, quels que soient le profil ou le type de raccord.</t>
  </si>
  <si>
    <t>Poutre caisson formée à froid  en acier de calibre 12 à 16, de toute longueur, incluant le connecteur/support de poutre, quels que soient le profil ou le type de raccord.</t>
  </si>
  <si>
    <t>Barre de sécurité formée à froid , quels que soient le type ou le modèle (universelle, à clipser, à encliqueter, à poser par-dessus, soudée ou autre), les dimensions ou la configuration.</t>
  </si>
  <si>
    <t>PROJECTS</t>
  </si>
  <si>
    <t>PROJETS</t>
  </si>
  <si>
    <t>Purchaser of steel racks</t>
  </si>
  <si>
    <t>Acheteur de rayonnages en acier</t>
  </si>
  <si>
    <t>Owner of the project</t>
  </si>
  <si>
    <t>Maître d’ouvrage</t>
  </si>
  <si>
    <t>Location of the project</t>
  </si>
  <si>
    <t>Emplacement du projet</t>
  </si>
  <si>
    <t>Date of bid</t>
  </si>
  <si>
    <t>Date de présentation de la soumission</t>
  </si>
  <si>
    <t>Date of contract award</t>
  </si>
  <si>
    <t>Date d’attribution du contrat</t>
  </si>
  <si>
    <t>Date of first delivery</t>
  </si>
  <si>
    <t>Date de la première livraison</t>
  </si>
  <si>
    <t>Date of last delivery</t>
  </si>
  <si>
    <t>Date de la dernière livraison</t>
  </si>
  <si>
    <t>Volume of steel racks (tonnes)</t>
  </si>
  <si>
    <t>Volume de rayonnages en acier (tonnes)</t>
  </si>
  <si>
    <t>Selling price of steel racks – Material only (CAD)</t>
  </si>
  <si>
    <t>Prix de vente des rayonnages en acier – matériaux seulement (CAD)</t>
  </si>
  <si>
    <t>Indicate whether delivery was included or excluded from the reported selling price</t>
  </si>
  <si>
    <t>Indiquer si la livraison était incluse ou exclue du prix de vente déclaré</t>
  </si>
  <si>
    <t>Project</t>
  </si>
  <si>
    <t>Projet</t>
  </si>
  <si>
    <t>Breakdown of material provided (e.g. number of frames, number of beams, etc.)</t>
  </si>
  <si>
    <t>Détail des matériaux fournis (p. ex. nombre de cadres, nombre de poutres, etc.)</t>
  </si>
  <si>
    <t>Confirmer que le coût des services, y compris l’installation et l’ingénierie, a été exclu de votre prix de vente (après livraison).</t>
  </si>
  <si>
    <t>dealers / distributors</t>
  </si>
  <si>
    <t>revendeurs / distributeurs</t>
  </si>
  <si>
    <t>value - total domestic sales of domestic production of benchmark products (Question 15)</t>
  </si>
  <si>
    <t>Note - Direct wages paid for domestic sales and exports sales are provided by the response in Question 1 above.</t>
  </si>
  <si>
    <t>Remarque - Les salaires directs payés pour les ventes intérieures et les ventes à l'exportation sont fournis par la réponse à la question 1 ci-dessus.</t>
  </si>
  <si>
    <t>La prime  pour les marchandises produites au Canada a-t-elle varié à la suite d'efforts promotionnels visant à vendre ou à acheter des produits canadiens ?</t>
  </si>
  <si>
    <t>Has the domestic premium for the goods changed as a result of any promotional efforts to sell or buy Canadian products?</t>
  </si>
  <si>
    <t>b) Provide your firm’s strategies and objectives for the next two years with respect to the export sales of the goods. Provide the rationale and assumptions underlying these strategies and objectives.</t>
  </si>
  <si>
    <t>b) Fournissez les stratégies et les objectifs de votre entreprise pour les deux prochaines années en ce qui concerne les ventes à l'exportation des marchandises. Fournir la justification et les hypothèses qui sous-tendent ces stratégies et objectifs.</t>
  </si>
  <si>
    <t>Question 28</t>
  </si>
  <si>
    <t>Question 29</t>
  </si>
  <si>
    <t>Performance</t>
  </si>
  <si>
    <t>Copy (Has been /1000 where needed)</t>
  </si>
  <si>
    <t>for Domestic</t>
  </si>
  <si>
    <t>for Export</t>
  </si>
  <si>
    <t>/1000</t>
  </si>
  <si>
    <t>Direct labour wages paid</t>
  </si>
  <si>
    <t>Net Sales Volume</t>
  </si>
  <si>
    <t>Ending Inventory</t>
  </si>
  <si>
    <t>GSA Expenses</t>
  </si>
  <si>
    <t>for TOTAL FIRM</t>
  </si>
  <si>
    <t>General, selling, admin. expenses</t>
  </si>
  <si>
    <t>OtherPerformance</t>
  </si>
  <si>
    <t>Negative Effects</t>
  </si>
  <si>
    <t>Copy (Has been /1000)</t>
  </si>
  <si>
    <t>Plant Capacity</t>
  </si>
  <si>
    <t>Further Internal Processing</t>
  </si>
  <si>
    <t>Domestic</t>
  </si>
  <si>
    <t>Average Costs</t>
  </si>
  <si>
    <t>Other Products, Same equipment</t>
  </si>
  <si>
    <t>Export Sales - Total Value (NDSV)</t>
  </si>
  <si>
    <t>Direct Employment No</t>
  </si>
  <si>
    <t>Indirect Employment No</t>
  </si>
  <si>
    <t>`</t>
  </si>
  <si>
    <t>Hours Worked - Direct</t>
  </si>
  <si>
    <t>Hours Worked - Indirect</t>
  </si>
  <si>
    <t>Export</t>
  </si>
  <si>
    <t xml:space="preserve">Wages - Direct </t>
  </si>
  <si>
    <t>Wages - Indirect</t>
  </si>
  <si>
    <t>Inventory - Volume</t>
  </si>
  <si>
    <t>Inventory - Value</t>
  </si>
  <si>
    <t>Copy</t>
  </si>
  <si>
    <t>000 $</t>
  </si>
  <si>
    <t>$/Tonne</t>
  </si>
  <si>
    <t>VOL</t>
  </si>
  <si>
    <t>VAL</t>
  </si>
  <si>
    <t>UV</t>
  </si>
  <si>
    <t>EU</t>
  </si>
  <si>
    <t>VOL Check</t>
  </si>
  <si>
    <t>VAL Check</t>
  </si>
  <si>
    <t>Firm Activities</t>
  </si>
  <si>
    <t>Regional DB</t>
  </si>
  <si>
    <t>Total Sales Volume (tonnes)</t>
  </si>
  <si>
    <t>Don’t Copy</t>
  </si>
  <si>
    <t>BnchMkDB</t>
  </si>
  <si>
    <t>Country</t>
  </si>
  <si>
    <t>Activity</t>
  </si>
  <si>
    <t>BMP#</t>
  </si>
  <si>
    <t>VAL/1000</t>
  </si>
  <si>
    <t>DOM Sls</t>
  </si>
  <si>
    <t>BMP 1</t>
  </si>
  <si>
    <t>BMP 2</t>
  </si>
  <si>
    <t>BMP 3</t>
  </si>
  <si>
    <t>CHECK</t>
  </si>
  <si>
    <t>TopAcntDB</t>
  </si>
  <si>
    <t>TopAcnt#</t>
  </si>
  <si>
    <t>Respondant</t>
  </si>
  <si>
    <t>Sheet/Comment</t>
  </si>
  <si>
    <t>Question</t>
  </si>
  <si>
    <t>Answer</t>
  </si>
  <si>
    <t>Public</t>
  </si>
  <si>
    <t>Q 1.</t>
  </si>
  <si>
    <t>Q 3.</t>
  </si>
  <si>
    <t>Q 4.</t>
  </si>
  <si>
    <t>Q 7.</t>
  </si>
  <si>
    <t>Q 8. A</t>
  </si>
  <si>
    <t>Q 8. B</t>
  </si>
  <si>
    <t>Q 8. C</t>
  </si>
  <si>
    <t>Q 9.</t>
  </si>
  <si>
    <t>Q10</t>
  </si>
  <si>
    <t>Q 11. A</t>
  </si>
  <si>
    <t>Q 11. B</t>
  </si>
  <si>
    <t>Q 11. C</t>
  </si>
  <si>
    <t>Q 12.</t>
  </si>
  <si>
    <t>Q 13.</t>
  </si>
  <si>
    <t>Q 14.</t>
  </si>
  <si>
    <t>Q 15.</t>
  </si>
  <si>
    <t>Q 16.</t>
  </si>
  <si>
    <t>Q 18.</t>
  </si>
  <si>
    <t>Q 19.</t>
  </si>
  <si>
    <t>Q 20.</t>
  </si>
  <si>
    <t>Q 21.</t>
  </si>
  <si>
    <t>Q 22.</t>
  </si>
  <si>
    <t>Q 24.</t>
  </si>
  <si>
    <t>Q 26.</t>
  </si>
  <si>
    <t>Q 27.</t>
  </si>
  <si>
    <t>Q 28.</t>
  </si>
  <si>
    <t>Q 29.</t>
  </si>
  <si>
    <t>AddPub</t>
  </si>
  <si>
    <t>Pro 1</t>
  </si>
  <si>
    <t>Q 2.</t>
  </si>
  <si>
    <t>Q 5.</t>
  </si>
  <si>
    <t>Q 6.</t>
  </si>
  <si>
    <t>Pro 2</t>
  </si>
  <si>
    <t>Q 10.</t>
  </si>
  <si>
    <t>Pro 3</t>
  </si>
  <si>
    <t>AddPro</t>
  </si>
  <si>
    <t>Signature</t>
  </si>
  <si>
    <t xml:space="preserve">copy </t>
  </si>
  <si>
    <t>Don't</t>
  </si>
  <si>
    <t>Don’t</t>
  </si>
  <si>
    <t>Dealrs/DIST</t>
  </si>
  <si>
    <t xml:space="preserve">Sales to dealers / distributors </t>
  </si>
  <si>
    <t xml:space="preserve">Sales to end users </t>
  </si>
  <si>
    <t>Q 17. %</t>
  </si>
  <si>
    <t>Q 17. A</t>
  </si>
  <si>
    <t>Q 17. B</t>
  </si>
  <si>
    <t>Q 23.</t>
  </si>
  <si>
    <t>Q 25. Exp</t>
  </si>
  <si>
    <t>Q 25. A</t>
  </si>
  <si>
    <t>Q 25. B</t>
  </si>
  <si>
    <t>Q 25. C</t>
  </si>
  <si>
    <t>Q 8. Exp</t>
  </si>
  <si>
    <t>Q 1. A Dom</t>
  </si>
  <si>
    <t>Q 1. B Exp</t>
  </si>
  <si>
    <t>Q 5. A</t>
  </si>
  <si>
    <t>Q 5. B</t>
  </si>
  <si>
    <t>Q 5. C</t>
  </si>
  <si>
    <t>Q 5. D</t>
  </si>
  <si>
    <t>Q 6. A</t>
  </si>
  <si>
    <t>Q 6. B</t>
  </si>
  <si>
    <t>Q 6. C</t>
  </si>
  <si>
    <t>Q 10. A</t>
  </si>
  <si>
    <t>Q 10. B</t>
  </si>
  <si>
    <t>Q 10. C</t>
  </si>
  <si>
    <t>Pro 4</t>
  </si>
  <si>
    <t>ROI</t>
  </si>
  <si>
    <t>Capital</t>
  </si>
  <si>
    <t>Prod Dev</t>
  </si>
  <si>
    <t>Emplyment</t>
  </si>
  <si>
    <t>Hours</t>
  </si>
  <si>
    <t>Pension</t>
  </si>
  <si>
    <t>Training</t>
  </si>
  <si>
    <t>Other</t>
  </si>
  <si>
    <t>Confirm that the cost of services, including installation and engineering, have been excluded from your delivered selling price.</t>
  </si>
  <si>
    <t>Comment on how the Canadian market for the goods has changed since January 2023.</t>
  </si>
  <si>
    <t>La stratégie d'exportation de votre entreprise pour ces marchandises a-t-elle changé depuis janvier 2023 ?</t>
  </si>
  <si>
    <t>Has your firm's export strategy for the goods changed since January 2023?</t>
  </si>
  <si>
    <t>NQ-2026-005</t>
  </si>
  <si>
    <t>Rebecca Campbell</t>
  </si>
  <si>
    <t>rebecca.campbell@tribunal.gc.ca</t>
  </si>
  <si>
    <t>613-998-8598</t>
  </si>
  <si>
    <t>Wen Zhang</t>
  </si>
  <si>
    <t>wen.zhang@tribunal.gc.ca</t>
  </si>
  <si>
    <t>343-549-1983</t>
  </si>
  <si>
    <t>Rhonda Heintzman</t>
  </si>
  <si>
    <t>rhonda.heintzman@tribunal.gc.ca</t>
  </si>
  <si>
    <t>613-558-5983</t>
  </si>
  <si>
    <t>September 24, 2026</t>
  </si>
  <si>
    <t>24 septembre 2026</t>
  </si>
  <si>
    <t>a) Has your firm's export strategy for the goods changed since January 2023?</t>
  </si>
  <si>
    <t>b) La stratégie d'exportation de votre entreprise pour ces marchandises a-t-elle changé depuis janvier 2023 ?</t>
  </si>
  <si>
    <t>Provide the following information on your ten largest individual sales by volume supplied with domestically produced steel racks between January 1, 2023, and March 31, 2026.</t>
  </si>
  <si>
    <t>Fournir les renseignements suivants pour vos dix plus importantes ventes individuelles en volume, portant sur des rayonnages en acier produits au pays, réalisées entre le 1er janvier 2023 et le 31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</si>
</sst>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_(* #,##0.00_);_(* \(#,##0.00\);_(* &quot;-&quot;??_);_(@_)"/>
    <numFmt numFmtId="165" formatCode="_(* #,##0_);_(* \(#,##0\);_(* &quot;-&quot;??_);_(@_)"/>
    <numFmt numFmtId="166" formatCode="_-* #,##0_-;\-* #,##0_-;_-* &quot;-&quot;??_-;_-@_-"/>
    <numFmt numFmtId="167" formatCode="#,##0;\(#,##0\);\-"/>
    <numFmt numFmtId="168" formatCode="[$-F800]dddd\,\ mmmm\ dd\,\ yyyy"/>
  </numFmts>
  <fonts count="52"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sz val="16"/>
      <color rgb="FF000000"/>
      <name val="Calibri"/>
      <family val="2"/>
      <scheme val="minor"/>
    </font>
    <font>
      <b/>
      <u/>
      <sz val="10.5"/>
      <color theme="1"/>
      <name val="Calibri"/>
      <family val="2"/>
      <scheme val="minor"/>
    </font>
    <font>
      <sz val="10.5"/>
      <color rgb="FF000000"/>
      <name val="Calibri"/>
      <family val="2"/>
    </font>
    <font>
      <u/>
      <sz val="10.5"/>
      <color theme="1"/>
      <name val="Calibri"/>
      <family val="2"/>
      <scheme val="minor"/>
    </font>
    <font>
      <b/>
      <sz val="10.5"/>
      <name val="Calibri"/>
      <family val="2"/>
    </font>
    <font>
      <sz val="10.5"/>
      <color rgb="FFFF0000"/>
      <name val="Calibri"/>
      <family val="2"/>
      <scheme val="minor"/>
    </font>
    <font>
      <b/>
      <sz val="10.5"/>
      <color theme="0"/>
      <name val="Calibri"/>
      <family val="2"/>
    </font>
    <font>
      <b/>
      <sz val="9"/>
      <color indexed="81"/>
      <name val="Tahoma"/>
      <family val="2"/>
    </font>
    <font>
      <sz val="10.5"/>
      <color rgb="FF0070C0"/>
      <name val="Calibri"/>
      <family val="2"/>
      <scheme val="minor"/>
    </font>
    <font>
      <sz val="9"/>
      <color indexed="81"/>
      <name val="Tahoma"/>
      <family val="2"/>
    </font>
    <font>
      <sz val="12"/>
      <color theme="1"/>
      <name val="Arial"/>
      <family val="2"/>
    </font>
    <font>
      <sz val="10"/>
      <color rgb="FF000000"/>
      <name val="Calibri"/>
      <family val="2"/>
      <scheme val="minor"/>
    </font>
    <font>
      <sz val="7"/>
      <color theme="1"/>
      <name val="Segoe UI"/>
      <family val="2"/>
    </font>
    <font>
      <sz val="8"/>
      <name val="Courier"/>
      <family val="3"/>
    </font>
    <font>
      <u/>
      <sz val="10"/>
      <name val="Calibri"/>
      <family val="2"/>
      <scheme val="minor"/>
    </font>
    <font>
      <sz val="10"/>
      <color rgb="FFFF0000"/>
      <name val="Calibri"/>
      <family val="2"/>
      <scheme val="minor"/>
    </font>
    <font>
      <b/>
      <u/>
      <sz val="10"/>
      <color theme="1"/>
      <name val="Calibri"/>
      <family val="2"/>
      <scheme val="minor"/>
    </font>
    <font>
      <b/>
      <i/>
      <sz val="10"/>
      <color theme="1"/>
      <name val="Calibri"/>
      <family val="2"/>
      <scheme val="minor"/>
    </font>
    <font>
      <u/>
      <sz val="10"/>
      <color theme="1"/>
      <name val="Calibri"/>
      <family val="2"/>
      <scheme val="minor"/>
    </font>
    <font>
      <b/>
      <i/>
      <u/>
      <sz val="10"/>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2DCDB"/>
        <bgColor indexed="64"/>
      </patternFill>
    </fill>
  </fills>
  <borders count="9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auto="1"/>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auto="1"/>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theme="0" tint="-0.499984740745262"/>
      </right>
      <top/>
      <bottom style="thin">
        <color auto="1"/>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indexed="64"/>
      </right>
      <top/>
      <bottom style="thin">
        <color auto="1"/>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auto="1"/>
      </right>
      <top style="thin">
        <color theme="0" tint="-0.499984740745262"/>
      </top>
      <bottom style="thin">
        <color indexed="64"/>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style="thin">
        <color theme="0" tint="-0.499984740745262"/>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25" fillId="0" borderId="0"/>
    <xf numFmtId="0" fontId="15" fillId="0" borderId="0"/>
    <xf numFmtId="0" fontId="17" fillId="0" borderId="0"/>
    <xf numFmtId="43" fontId="1" fillId="0" borderId="0" applyFont="0" applyFill="0" applyBorder="0" applyAlignment="0" applyProtection="0"/>
    <xf numFmtId="43" fontId="45" fillId="0" borderId="0" applyFont="0" applyFill="0" applyBorder="0" applyAlignment="0" applyProtection="0"/>
  </cellStyleXfs>
  <cellXfs count="902">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6"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8" fillId="2" borderId="0" xfId="0" applyFont="1" applyFill="1" applyAlignment="1">
      <alignmen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2" fillId="0" borderId="4" xfId="0" applyFont="1" applyBorder="1" applyAlignment="1">
      <alignment horizontal="left"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22" fillId="0" borderId="0" xfId="0" applyFont="1"/>
    <xf numFmtId="165"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0" fontId="7" fillId="0" borderId="0" xfId="0" applyFont="1"/>
    <xf numFmtId="15" fontId="7" fillId="0" borderId="0" xfId="0" applyNumberFormat="1" applyFont="1" applyAlignment="1">
      <alignment vertical="top"/>
    </xf>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7" fillId="0" borderId="0" xfId="0" applyFont="1" applyAlignment="1">
      <alignment vertical="center"/>
    </xf>
    <xf numFmtId="0" fontId="13" fillId="2" borderId="4" xfId="0" applyFont="1" applyFill="1" applyBorder="1" applyAlignment="1">
      <alignmen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5" xfId="0" applyFont="1" applyBorder="1" applyAlignment="1">
      <alignment horizontal="left" vertical="top" wrapText="1"/>
    </xf>
    <xf numFmtId="0" fontId="8" fillId="0" borderId="4" xfId="0" applyFont="1" applyBorder="1" applyAlignment="1">
      <alignment vertical="top" wrapText="1"/>
    </xf>
    <xf numFmtId="0" fontId="7" fillId="6" borderId="0" xfId="0" applyFont="1" applyFill="1"/>
    <xf numFmtId="0" fontId="7" fillId="6" borderId="0" xfId="0" applyFont="1" applyFill="1" applyAlignment="1">
      <alignment vertical="top"/>
    </xf>
    <xf numFmtId="0" fontId="7" fillId="0" borderId="0" xfId="0" applyFont="1" applyAlignment="1">
      <alignment horizontal="left"/>
    </xf>
    <xf numFmtId="0" fontId="7" fillId="0" borderId="0" xfId="0" applyFont="1" applyAlignment="1">
      <alignment horizontal="left" vertical="top"/>
    </xf>
    <xf numFmtId="15" fontId="7" fillId="0" borderId="0" xfId="0" quotePrefix="1" applyNumberFormat="1" applyFont="1"/>
    <xf numFmtId="0" fontId="7" fillId="0" borderId="4" xfId="0" applyFont="1"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wrapText="1"/>
    </xf>
    <xf numFmtId="0" fontId="7" fillId="0" borderId="0" xfId="0" applyFont="1" applyAlignment="1">
      <alignment wrapText="1"/>
    </xf>
    <xf numFmtId="0" fontId="7" fillId="0" borderId="3" xfId="0" applyFont="1" applyBorder="1" applyAlignment="1">
      <alignment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7" fillId="0" borderId="3" xfId="0" applyFont="1" applyBorder="1"/>
    <xf numFmtId="0" fontId="12" fillId="0" borderId="0" xfId="0" applyFont="1" applyAlignment="1">
      <alignment horizontal="left" vertical="top" wrapText="1"/>
    </xf>
    <xf numFmtId="49" fontId="7" fillId="2" borderId="0" xfId="0" applyNumberFormat="1" applyFont="1" applyFill="1" applyAlignment="1">
      <alignment vertical="top" wrapText="1"/>
    </xf>
    <xf numFmtId="49" fontId="7" fillId="0" borderId="0" xfId="0" applyNumberFormat="1" applyFont="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wrapText="1"/>
    </xf>
    <xf numFmtId="0" fontId="7" fillId="0" borderId="8"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3" xfId="0" applyFont="1" applyBorder="1" applyAlignment="1">
      <alignment vertical="center"/>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6" borderId="0" xfId="0" applyFont="1" applyFill="1" applyAlignment="1">
      <alignment wrapText="1"/>
    </xf>
    <xf numFmtId="0" fontId="7" fillId="6" borderId="0" xfId="0" applyFont="1" applyFill="1" applyAlignment="1">
      <alignment vertical="top" wrapText="1"/>
    </xf>
    <xf numFmtId="0" fontId="33" fillId="0" borderId="0" xfId="0" applyFont="1"/>
    <xf numFmtId="0" fontId="33" fillId="6" borderId="0" xfId="0" applyFont="1" applyFill="1"/>
    <xf numFmtId="0" fontId="11" fillId="0" borderId="0" xfId="0" applyFont="1"/>
    <xf numFmtId="0" fontId="34" fillId="13" borderId="0" xfId="0" applyFont="1" applyFill="1" applyAlignment="1">
      <alignment vertical="center"/>
    </xf>
    <xf numFmtId="0" fontId="34" fillId="0" borderId="0" xfId="0" applyFont="1" applyAlignment="1">
      <alignment vertical="center"/>
    </xf>
    <xf numFmtId="0" fontId="9" fillId="0" borderId="0" xfId="0" applyFont="1" applyAlignment="1">
      <alignment vertical="center"/>
    </xf>
    <xf numFmtId="0" fontId="7" fillId="0" borderId="0" xfId="0" applyFont="1" applyAlignment="1">
      <alignment horizontal="centerContinuous" vertical="center" wrapText="1"/>
    </xf>
    <xf numFmtId="0" fontId="7" fillId="0" borderId="3" xfId="0" applyFont="1" applyBorder="1" applyAlignment="1">
      <alignment horizontal="centerContinuous" vertical="center" wrapText="1"/>
    </xf>
    <xf numFmtId="0" fontId="8" fillId="0" borderId="4" xfId="0" applyFont="1" applyBorder="1" applyAlignment="1">
      <alignment horizontal="right" vertical="top" wrapText="1" indent="1"/>
    </xf>
    <xf numFmtId="0" fontId="8" fillId="0" borderId="4" xfId="0" applyFont="1" applyBorder="1" applyAlignment="1">
      <alignment vertical="top"/>
    </xf>
    <xf numFmtId="0" fontId="32" fillId="4" borderId="52" xfId="1" applyNumberFormat="1" applyFont="1" applyFill="1" applyBorder="1" applyAlignment="1" applyProtection="1">
      <alignment horizontal="center" vertical="top" wrapText="1"/>
      <protection locked="0"/>
    </xf>
    <xf numFmtId="0" fontId="8" fillId="0" borderId="52" xfId="0" applyFont="1" applyBorder="1" applyAlignment="1">
      <alignment horizontal="center" vertical="center" wrapText="1"/>
    </xf>
    <xf numFmtId="165" fontId="11" fillId="4" borderId="52" xfId="6" applyNumberFormat="1" applyFont="1" applyFill="1" applyBorder="1" applyAlignment="1" applyProtection="1">
      <alignment horizontal="center" vertical="center" wrapText="1"/>
      <protection locked="0"/>
    </xf>
    <xf numFmtId="0" fontId="11" fillId="4" borderId="52"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top" wrapText="1"/>
    </xf>
    <xf numFmtId="0" fontId="8" fillId="0" borderId="44" xfId="0" applyFont="1" applyBorder="1" applyAlignment="1">
      <alignment horizontal="left" vertical="top" wrapText="1"/>
    </xf>
    <xf numFmtId="0" fontId="12" fillId="0" borderId="0" xfId="0" applyFont="1" applyAlignment="1">
      <alignment vertical="center" wrapText="1"/>
    </xf>
    <xf numFmtId="0" fontId="13" fillId="0" borderId="52" xfId="0" applyFont="1" applyBorder="1" applyAlignment="1">
      <alignment horizontal="center" vertical="center" wrapText="1"/>
    </xf>
    <xf numFmtId="0" fontId="9" fillId="7" borderId="57" xfId="0" applyFont="1" applyFill="1" applyBorder="1" applyAlignment="1">
      <alignment horizontal="center" vertical="top" wrapText="1"/>
    </xf>
    <xf numFmtId="0" fontId="8" fillId="0" borderId="52" xfId="0" applyFont="1" applyBorder="1" applyAlignment="1">
      <alignment horizontal="center" vertical="top" wrapText="1"/>
    </xf>
    <xf numFmtId="0" fontId="8" fillId="0" borderId="47" xfId="0" applyFont="1" applyBorder="1" applyAlignment="1">
      <alignment horizontal="left" vertical="top" wrapText="1"/>
    </xf>
    <xf numFmtId="0" fontId="13" fillId="0" borderId="45" xfId="0" applyFont="1" applyBorder="1" applyAlignment="1">
      <alignment horizontal="centerContinuous" vertical="top" wrapText="1"/>
    </xf>
    <xf numFmtId="0" fontId="13" fillId="0" borderId="52" xfId="0" applyFont="1" applyBorder="1" applyAlignment="1">
      <alignment horizontal="center" vertical="top" wrapText="1"/>
    </xf>
    <xf numFmtId="0" fontId="7" fillId="0" borderId="45" xfId="0" applyFont="1" applyBorder="1" applyAlignment="1">
      <alignment wrapText="1"/>
    </xf>
    <xf numFmtId="0" fontId="13" fillId="14" borderId="56" xfId="0" applyFont="1" applyFill="1" applyBorder="1" applyAlignment="1">
      <alignment horizontal="left" vertical="top" wrapText="1"/>
    </xf>
    <xf numFmtId="1" fontId="11" fillId="5" borderId="52" xfId="1" applyNumberFormat="1" applyFont="1" applyFill="1" applyBorder="1" applyAlignment="1" applyProtection="1">
      <alignment horizontal="center" vertical="top" wrapText="1"/>
    </xf>
    <xf numFmtId="0" fontId="7" fillId="2" borderId="4" xfId="0" applyFont="1" applyFill="1" applyBorder="1" applyAlignment="1">
      <alignment vertical="top"/>
    </xf>
    <xf numFmtId="0" fontId="7" fillId="6" borderId="0" xfId="0" applyFont="1" applyFill="1" applyAlignment="1">
      <alignment horizontal="center"/>
    </xf>
    <xf numFmtId="0" fontId="7" fillId="0" borderId="0" xfId="0" applyFont="1" applyAlignment="1">
      <alignment horizontal="center"/>
    </xf>
    <xf numFmtId="0" fontId="36" fillId="2" borderId="4" xfId="0" applyFont="1" applyFill="1" applyBorder="1" applyAlignment="1">
      <alignment horizontal="center" vertical="top" wrapText="1"/>
    </xf>
    <xf numFmtId="0" fontId="36" fillId="2" borderId="0" xfId="0" applyFont="1" applyFill="1" applyAlignment="1">
      <alignment horizontal="center" vertical="top" wrapText="1"/>
    </xf>
    <xf numFmtId="0" fontId="5" fillId="0" borderId="0" xfId="0" applyFont="1" applyAlignment="1">
      <alignment horizontal="left" vertical="top" indent="1"/>
    </xf>
    <xf numFmtId="0" fontId="5" fillId="0" borderId="0" xfId="0" applyFont="1" applyAlignment="1">
      <alignment horizontal="left" vertical="top" wrapText="1"/>
    </xf>
    <xf numFmtId="0" fontId="5" fillId="0" borderId="0" xfId="0" applyFont="1" applyAlignment="1">
      <alignment horizontal="left" vertical="top" wrapText="1" indent="1"/>
    </xf>
    <xf numFmtId="0" fontId="13" fillId="14" borderId="56" xfId="0" applyFont="1" applyFill="1" applyBorder="1" applyAlignment="1">
      <alignment horizontal="left" vertical="center" wrapText="1"/>
    </xf>
    <xf numFmtId="0" fontId="7" fillId="8" borderId="0" xfId="0" applyFont="1" applyFill="1"/>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3" fillId="0" borderId="4" xfId="0" applyFont="1" applyBorder="1" applyAlignment="1">
      <alignment horizontal="left" vertical="top" wrapText="1" indent="1"/>
    </xf>
    <xf numFmtId="0" fontId="13" fillId="0" borderId="0" xfId="0" applyFont="1" applyAlignment="1">
      <alignment horizontal="left" vertical="top" wrapText="1" indent="1"/>
    </xf>
    <xf numFmtId="0" fontId="8" fillId="0" borderId="0" xfId="0" applyFont="1" applyAlignment="1">
      <alignment horizontal="center" vertical="top" wrapText="1"/>
    </xf>
    <xf numFmtId="0" fontId="8" fillId="0" borderId="4" xfId="0" applyFont="1" applyBorder="1" applyAlignment="1">
      <alignment horizontal="left" vertical="top"/>
    </xf>
    <xf numFmtId="0" fontId="9" fillId="0" borderId="4" xfId="0" applyFont="1" applyBorder="1" applyAlignment="1">
      <alignment vertical="top"/>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165" fontId="10" fillId="0" borderId="0" xfId="6" applyNumberFormat="1" applyFont="1" applyFill="1" applyBorder="1" applyAlignment="1" applyProtection="1">
      <alignment horizontal="right" vertical="top" wrapText="1"/>
    </xf>
    <xf numFmtId="0" fontId="9" fillId="0" borderId="3" xfId="0" applyFont="1" applyBorder="1" applyAlignment="1">
      <alignment vertical="top"/>
    </xf>
    <xf numFmtId="0" fontId="6" fillId="3"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6" fillId="3" borderId="4" xfId="0" applyFont="1" applyFill="1" applyBorder="1" applyAlignment="1">
      <alignment horizontal="left" vertical="top" wrapText="1"/>
    </xf>
    <xf numFmtId="0" fontId="2" fillId="2" borderId="0" xfId="0" applyFont="1" applyFill="1" applyAlignment="1">
      <alignment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5" fillId="2" borderId="0" xfId="0" applyFont="1" applyFill="1" applyAlignment="1">
      <alignment horizontal="left" vertical="top"/>
    </xf>
    <xf numFmtId="0" fontId="6" fillId="3" borderId="0" xfId="0" applyFont="1" applyFill="1" applyAlignment="1">
      <alignment horizontal="center" vertical="top"/>
    </xf>
    <xf numFmtId="0" fontId="6" fillId="3" borderId="0" xfId="0" applyFont="1" applyFill="1" applyAlignment="1">
      <alignment horizontal="center" vertical="top" wrapText="1"/>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2" borderId="0" xfId="0" applyFont="1" applyFill="1" applyAlignment="1">
      <alignment vertical="top" wrapText="1"/>
    </xf>
    <xf numFmtId="0" fontId="5" fillId="2" borderId="0" xfId="0" applyFont="1" applyFill="1" applyAlignment="1">
      <alignment vertical="top"/>
    </xf>
    <xf numFmtId="49" fontId="4" fillId="2" borderId="0" xfId="0" applyNumberFormat="1" applyFont="1" applyFill="1" applyAlignment="1">
      <alignment vertical="top" wrapText="1"/>
    </xf>
    <xf numFmtId="49" fontId="4" fillId="2" borderId="0" xfId="0" applyNumberFormat="1" applyFont="1" applyFill="1" applyAlignment="1">
      <alignment vertical="top"/>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36" fillId="7" borderId="52" xfId="0" applyFont="1" applyFill="1" applyBorder="1" applyAlignment="1">
      <alignment horizontal="center" vertical="top" wrapText="1"/>
    </xf>
    <xf numFmtId="0" fontId="36" fillId="7" borderId="57" xfId="0" applyFont="1" applyFill="1" applyBorder="1" applyAlignment="1">
      <alignment horizontal="center" vertical="top" wrapText="1"/>
    </xf>
    <xf numFmtId="49" fontId="11" fillId="4" borderId="52" xfId="1" applyNumberFormat="1" applyFont="1" applyFill="1" applyBorder="1" applyAlignment="1" applyProtection="1">
      <alignment vertical="center" wrapText="1"/>
      <protection locked="0"/>
    </xf>
    <xf numFmtId="164" fontId="11" fillId="4" borderId="52" xfId="1" applyFont="1" applyFill="1" applyBorder="1" applyAlignment="1" applyProtection="1">
      <alignment vertical="center" wrapText="1"/>
      <protection locked="0"/>
    </xf>
    <xf numFmtId="164" fontId="11" fillId="4" borderId="57" xfId="1" applyFont="1" applyFill="1" applyBorder="1" applyAlignment="1" applyProtection="1">
      <alignment vertical="center" wrapText="1"/>
      <protection locked="0"/>
    </xf>
    <xf numFmtId="0" fontId="5" fillId="2" borderId="0" xfId="0" applyFont="1" applyFill="1" applyAlignment="1">
      <alignment vertical="top" wrapText="1"/>
    </xf>
    <xf numFmtId="0" fontId="7" fillId="8" borderId="0" xfId="0" applyFont="1" applyFill="1" applyAlignment="1">
      <alignment vertical="top"/>
    </xf>
    <xf numFmtId="165" fontId="11" fillId="4" borderId="52" xfId="6" applyNumberFormat="1" applyFont="1" applyFill="1" applyBorder="1" applyAlignment="1" applyProtection="1">
      <alignment vertical="center"/>
      <protection locked="0"/>
    </xf>
    <xf numFmtId="165" fontId="10" fillId="5" borderId="52" xfId="6" applyNumberFormat="1" applyFont="1" applyFill="1" applyBorder="1" applyAlignment="1" applyProtection="1">
      <alignment vertical="center"/>
    </xf>
    <xf numFmtId="165" fontId="11" fillId="4" borderId="69" xfId="6" applyNumberFormat="1" applyFont="1" applyFill="1" applyBorder="1" applyAlignment="1" applyProtection="1">
      <alignment vertical="top"/>
      <protection locked="0"/>
    </xf>
    <xf numFmtId="165" fontId="11" fillId="5" borderId="69" xfId="6" applyNumberFormat="1" applyFont="1" applyFill="1" applyBorder="1" applyAlignment="1" applyProtection="1">
      <alignment vertical="top"/>
    </xf>
    <xf numFmtId="165" fontId="11" fillId="4" borderId="52"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top"/>
    </xf>
    <xf numFmtId="164" fontId="11" fillId="5" borderId="67" xfId="6" applyFont="1" applyFill="1" applyBorder="1" applyAlignment="1" applyProtection="1">
      <alignment vertical="top"/>
    </xf>
    <xf numFmtId="165" fontId="11" fillId="4" borderId="54" xfId="6" applyNumberFormat="1" applyFont="1" applyFill="1" applyBorder="1" applyAlignment="1" applyProtection="1">
      <alignment vertical="top"/>
      <protection locked="0"/>
    </xf>
    <xf numFmtId="165" fontId="11" fillId="5" borderId="52" xfId="6" applyNumberFormat="1" applyFont="1" applyFill="1" applyBorder="1" applyAlignment="1" applyProtection="1">
      <alignment vertical="center"/>
    </xf>
    <xf numFmtId="165" fontId="11" fillId="4" borderId="57" xfId="6" applyNumberFormat="1" applyFont="1" applyFill="1" applyBorder="1" applyAlignment="1" applyProtection="1">
      <alignment vertical="center"/>
      <protection locked="0"/>
    </xf>
    <xf numFmtId="164" fontId="11" fillId="5" borderId="52" xfId="6" applyFont="1" applyFill="1" applyBorder="1" applyAlignment="1" applyProtection="1">
      <alignment vertical="center"/>
    </xf>
    <xf numFmtId="164" fontId="11" fillId="5" borderId="57" xfId="6" applyFont="1" applyFill="1" applyBorder="1" applyAlignment="1" applyProtection="1">
      <alignment vertical="center"/>
    </xf>
    <xf numFmtId="165" fontId="10" fillId="5" borderId="52" xfId="6" applyNumberFormat="1" applyFont="1" applyFill="1" applyBorder="1" applyAlignment="1" applyProtection="1">
      <alignment vertical="top"/>
    </xf>
    <xf numFmtId="0" fontId="7" fillId="0" borderId="3" xfId="0" applyFont="1" applyBorder="1" applyAlignment="1">
      <alignment vertical="top"/>
    </xf>
    <xf numFmtId="0" fontId="7" fillId="0" borderId="4" xfId="0" applyFont="1" applyBorder="1" applyAlignment="1">
      <alignment vertical="top"/>
    </xf>
    <xf numFmtId="165" fontId="11" fillId="5" borderId="52" xfId="1" applyNumberFormat="1" applyFont="1" applyFill="1" applyBorder="1" applyAlignment="1" applyProtection="1">
      <alignment horizontal="center" vertical="center"/>
    </xf>
    <xf numFmtId="0" fontId="9" fillId="7" borderId="53" xfId="0" applyFont="1" applyFill="1" applyBorder="1" applyAlignment="1">
      <alignment horizontal="center" vertical="top" wrapText="1"/>
    </xf>
    <xf numFmtId="0" fontId="9" fillId="7" borderId="52" xfId="0" applyFont="1" applyFill="1" applyBorder="1" applyAlignment="1">
      <alignment horizontal="center" vertical="center"/>
    </xf>
    <xf numFmtId="0" fontId="7" fillId="0" borderId="50" xfId="0" applyFont="1" applyBorder="1" applyAlignment="1">
      <alignment horizontal="centerContinuous" vertical="top" wrapText="1"/>
    </xf>
    <xf numFmtId="0" fontId="9" fillId="0" borderId="0" xfId="0" applyFont="1" applyAlignment="1">
      <alignment horizontal="center" vertical="top"/>
    </xf>
    <xf numFmtId="0" fontId="12" fillId="2" borderId="0" xfId="0" applyFont="1" applyFill="1" applyAlignment="1">
      <alignment vertical="top" wrapText="1"/>
    </xf>
    <xf numFmtId="0" fontId="9" fillId="2" borderId="0" xfId="0" applyFont="1" applyFill="1" applyAlignment="1">
      <alignment horizontal="center" vertical="center"/>
    </xf>
    <xf numFmtId="0" fontId="7" fillId="0" borderId="0" xfId="0" applyFont="1" applyAlignment="1">
      <alignment horizontal="right"/>
    </xf>
    <xf numFmtId="0" fontId="7" fillId="8" borderId="0" xfId="0" applyFont="1" applyFill="1" applyAlignment="1">
      <alignment horizontal="right"/>
    </xf>
    <xf numFmtId="0" fontId="7" fillId="17" borderId="0" xfId="0" applyFont="1" applyFill="1" applyAlignment="1">
      <alignment horizontal="right"/>
    </xf>
    <xf numFmtId="168" fontId="7" fillId="0" borderId="0" xfId="0" quotePrefix="1" applyNumberFormat="1" applyFont="1" applyAlignment="1">
      <alignment vertical="top"/>
    </xf>
    <xf numFmtId="0" fontId="7" fillId="6" borderId="0" xfId="0" applyFont="1" applyFill="1" applyAlignment="1">
      <alignment horizontal="left" vertical="top"/>
    </xf>
    <xf numFmtId="168" fontId="7" fillId="6" borderId="0" xfId="0" quotePrefix="1" applyNumberFormat="1" applyFont="1" applyFill="1" applyAlignment="1">
      <alignment horizontal="left" vertical="top"/>
    </xf>
    <xf numFmtId="16" fontId="7" fillId="0" borderId="0" xfId="0" applyNumberFormat="1" applyFont="1"/>
    <xf numFmtId="0" fontId="9" fillId="7" borderId="52" xfId="0" applyFont="1" applyFill="1" applyBorder="1" applyAlignment="1">
      <alignment horizontal="center" vertical="center" wrapText="1"/>
    </xf>
    <xf numFmtId="0" fontId="8" fillId="0" borderId="37" xfId="0" applyFont="1" applyBorder="1" applyAlignment="1">
      <alignment horizontal="left" vertical="top" wrapText="1"/>
    </xf>
    <xf numFmtId="165" fontId="11" fillId="5" borderId="67" xfId="6" applyNumberFormat="1" applyFont="1" applyFill="1" applyBorder="1" applyAlignment="1" applyProtection="1">
      <alignment vertical="top"/>
    </xf>
    <xf numFmtId="0" fontId="11" fillId="4" borderId="56" xfId="1" applyNumberFormat="1" applyFont="1" applyFill="1" applyBorder="1" applyAlignment="1" applyProtection="1">
      <alignment vertical="center" wrapText="1"/>
      <protection locked="0"/>
    </xf>
    <xf numFmtId="0" fontId="42" fillId="0" borderId="0" xfId="0" applyFont="1"/>
    <xf numFmtId="15" fontId="7" fillId="0" borderId="0" xfId="0" quotePrefix="1" applyNumberFormat="1" applyFont="1" applyAlignment="1">
      <alignment wrapText="1"/>
    </xf>
    <xf numFmtId="15" fontId="7" fillId="0" borderId="0" xfId="0" applyNumberFormat="1" applyFont="1"/>
    <xf numFmtId="0" fontId="8" fillId="0" borderId="83" xfId="0" applyFont="1" applyBorder="1" applyAlignment="1">
      <alignment horizontal="left" vertical="top" wrapText="1"/>
    </xf>
    <xf numFmtId="0" fontId="44" fillId="0" borderId="0" xfId="0" applyFont="1" applyAlignment="1">
      <alignment vertical="center"/>
    </xf>
    <xf numFmtId="0" fontId="13" fillId="18" borderId="83" xfId="0" applyFont="1" applyFill="1" applyBorder="1" applyAlignment="1">
      <alignment horizontal="center" vertical="top" wrapText="1"/>
    </xf>
    <xf numFmtId="0" fontId="8" fillId="0" borderId="85" xfId="0" applyFont="1" applyBorder="1" applyAlignment="1">
      <alignment horizontal="center" wrapText="1"/>
    </xf>
    <xf numFmtId="166" fontId="21" fillId="0" borderId="0" xfId="10" applyNumberFormat="1" applyFont="1" applyBorder="1"/>
    <xf numFmtId="0" fontId="26" fillId="3" borderId="0" xfId="0" applyFont="1" applyFill="1"/>
    <xf numFmtId="0" fontId="46" fillId="0" borderId="0" xfId="0" applyFont="1"/>
    <xf numFmtId="49" fontId="14" fillId="0" borderId="0" xfId="0" applyNumberFormat="1" applyFont="1"/>
    <xf numFmtId="0" fontId="14" fillId="0" borderId="0" xfId="0" applyFont="1" applyAlignment="1">
      <alignment wrapText="1"/>
    </xf>
    <xf numFmtId="4" fontId="14" fillId="0" borderId="0" xfId="0" applyNumberFormat="1" applyFont="1"/>
    <xf numFmtId="3" fontId="14" fillId="0" borderId="0" xfId="0" applyNumberFormat="1" applyFont="1"/>
    <xf numFmtId="164" fontId="14" fillId="0" borderId="0" xfId="6" applyFont="1"/>
    <xf numFmtId="0" fontId="26" fillId="3" borderId="0" xfId="0" applyFont="1" applyFill="1" applyAlignment="1">
      <alignment horizontal="left" wrapText="1"/>
    </xf>
    <xf numFmtId="0" fontId="21" fillId="0" borderId="0" xfId="0" applyFont="1"/>
    <xf numFmtId="0" fontId="21" fillId="0" borderId="93" xfId="0" applyFont="1" applyBorder="1"/>
    <xf numFmtId="0" fontId="21" fillId="0" borderId="93" xfId="0" applyFont="1" applyBorder="1" applyAlignment="1">
      <alignment horizontal="center"/>
    </xf>
    <xf numFmtId="0" fontId="14" fillId="0" borderId="95" xfId="0" applyFont="1" applyBorder="1"/>
    <xf numFmtId="0" fontId="21" fillId="0" borderId="95" xfId="0" applyFont="1" applyBorder="1" applyAlignment="1">
      <alignment horizontal="center"/>
    </xf>
    <xf numFmtId="0" fontId="21" fillId="0" borderId="91" xfId="0" applyFont="1" applyBorder="1"/>
    <xf numFmtId="0" fontId="21" fillId="0" borderId="0" xfId="0" applyFont="1" applyAlignment="1">
      <alignment horizontal="center"/>
    </xf>
    <xf numFmtId="0" fontId="47" fillId="0" borderId="0" xfId="0" applyFont="1"/>
    <xf numFmtId="0" fontId="48" fillId="8" borderId="12" xfId="0" applyFont="1" applyFill="1" applyBorder="1"/>
    <xf numFmtId="0" fontId="14" fillId="0" borderId="89" xfId="0" applyFont="1" applyBorder="1"/>
    <xf numFmtId="0" fontId="14" fillId="0" borderId="12" xfId="0" applyFont="1" applyBorder="1"/>
    <xf numFmtId="0" fontId="49" fillId="0" borderId="14" xfId="0" applyFont="1" applyBorder="1"/>
    <xf numFmtId="0" fontId="21" fillId="17" borderId="0" xfId="0" applyFont="1" applyFill="1" applyAlignment="1">
      <alignment horizontal="center"/>
    </xf>
    <xf numFmtId="0" fontId="21" fillId="17" borderId="15" xfId="0" applyFont="1" applyFill="1" applyBorder="1" applyAlignment="1">
      <alignment horizontal="center"/>
    </xf>
    <xf numFmtId="0" fontId="14" fillId="0" borderId="14" xfId="0" applyFont="1" applyBorder="1"/>
    <xf numFmtId="0" fontId="48" fillId="0" borderId="0" xfId="0" applyFont="1"/>
    <xf numFmtId="0" fontId="48" fillId="0" borderId="15" xfId="0" applyFont="1" applyBorder="1"/>
    <xf numFmtId="0" fontId="49" fillId="0" borderId="0" xfId="0" applyFont="1"/>
    <xf numFmtId="165" fontId="14" fillId="0" borderId="0" xfId="6" applyNumberFormat="1" applyFont="1" applyBorder="1"/>
    <xf numFmtId="165" fontId="14" fillId="0" borderId="15" xfId="6" applyNumberFormat="1" applyFont="1" applyBorder="1"/>
    <xf numFmtId="165" fontId="14" fillId="0" borderId="13" xfId="0" applyNumberFormat="1" applyFont="1" applyBorder="1"/>
    <xf numFmtId="165" fontId="14" fillId="0" borderId="89" xfId="0" applyNumberFormat="1" applyFont="1" applyBorder="1"/>
    <xf numFmtId="165" fontId="14" fillId="0" borderId="16" xfId="0" applyNumberFormat="1" applyFont="1" applyBorder="1"/>
    <xf numFmtId="165" fontId="14" fillId="0" borderId="90" xfId="0" applyNumberFormat="1" applyFont="1" applyBorder="1"/>
    <xf numFmtId="166" fontId="21" fillId="0" borderId="16" xfId="10" applyNumberFormat="1" applyFont="1" applyBorder="1"/>
    <xf numFmtId="166" fontId="21" fillId="0" borderId="98" xfId="10" applyNumberFormat="1" applyFont="1" applyBorder="1"/>
    <xf numFmtId="0" fontId="21" fillId="8" borderId="0" xfId="0" applyFont="1" applyFill="1"/>
    <xf numFmtId="0" fontId="14" fillId="8" borderId="0" xfId="0" applyFont="1" applyFill="1"/>
    <xf numFmtId="0" fontId="21" fillId="8" borderId="0" xfId="0" applyFont="1" applyFill="1" applyAlignment="1">
      <alignment vertical="center"/>
    </xf>
    <xf numFmtId="0" fontId="21" fillId="17" borderId="0" xfId="0" applyFont="1" applyFill="1" applyAlignment="1">
      <alignment vertical="center"/>
    </xf>
    <xf numFmtId="0" fontId="14" fillId="0" borderId="92" xfId="0" applyFont="1" applyBorder="1"/>
    <xf numFmtId="165" fontId="14" fillId="0" borderId="16" xfId="6" applyNumberFormat="1" applyFont="1" applyBorder="1"/>
    <xf numFmtId="165" fontId="14" fillId="0" borderId="90" xfId="6" applyNumberFormat="1" applyFont="1" applyBorder="1"/>
    <xf numFmtId="0" fontId="21" fillId="17" borderId="13" xfId="0" applyFont="1" applyFill="1" applyBorder="1" applyAlignment="1">
      <alignment horizontal="center"/>
    </xf>
    <xf numFmtId="0" fontId="21" fillId="17" borderId="89" xfId="0" applyFont="1" applyFill="1" applyBorder="1" applyAlignment="1">
      <alignment horizontal="center"/>
    </xf>
    <xf numFmtId="0" fontId="48" fillId="8" borderId="14" xfId="0" applyFont="1" applyFill="1" applyBorder="1"/>
    <xf numFmtId="0" fontId="14" fillId="0" borderId="15" xfId="0" applyFont="1" applyBorder="1"/>
    <xf numFmtId="0" fontId="48" fillId="0" borderId="14" xfId="0" applyFont="1" applyBorder="1"/>
    <xf numFmtId="0" fontId="21" fillId="0" borderId="14" xfId="0" applyFont="1" applyBorder="1"/>
    <xf numFmtId="165" fontId="14" fillId="0" borderId="89" xfId="6" applyNumberFormat="1" applyFont="1" applyBorder="1"/>
    <xf numFmtId="165" fontId="14" fillId="0" borderId="14" xfId="6" applyNumberFormat="1" applyFont="1" applyBorder="1"/>
    <xf numFmtId="0" fontId="14" fillId="0" borderId="92" xfId="0" applyFont="1" applyBorder="1" applyAlignment="1">
      <alignment horizontal="center"/>
    </xf>
    <xf numFmtId="0" fontId="14" fillId="0" borderId="16" xfId="0" applyFont="1" applyBorder="1" applyAlignment="1">
      <alignment horizontal="center"/>
    </xf>
    <xf numFmtId="0" fontId="14" fillId="0" borderId="90" xfId="0" applyFont="1" applyBorder="1" applyAlignment="1">
      <alignment horizontal="center"/>
    </xf>
    <xf numFmtId="0" fontId="14" fillId="0" borderId="14" xfId="0" applyFont="1" applyBorder="1" applyAlignment="1">
      <alignment horizontal="center"/>
    </xf>
    <xf numFmtId="49" fontId="21" fillId="0" borderId="12" xfId="0" applyNumberFormat="1" applyFont="1" applyBorder="1" applyAlignment="1">
      <alignment horizontal="left"/>
    </xf>
    <xf numFmtId="0" fontId="14" fillId="0" borderId="13" xfId="0" applyFont="1" applyBorder="1" applyAlignment="1">
      <alignment horizontal="center"/>
    </xf>
    <xf numFmtId="49" fontId="14" fillId="0" borderId="13" xfId="0" applyNumberFormat="1" applyFont="1" applyBorder="1" applyAlignment="1">
      <alignment horizontal="center"/>
    </xf>
    <xf numFmtId="49" fontId="14" fillId="0" borderId="89" xfId="0" applyNumberFormat="1" applyFont="1" applyBorder="1" applyAlignment="1">
      <alignment horizontal="center"/>
    </xf>
    <xf numFmtId="165" fontId="14" fillId="0" borderId="15" xfId="0" applyNumberFormat="1" applyFont="1" applyBorder="1"/>
    <xf numFmtId="165" fontId="14" fillId="0" borderId="14" xfId="0" applyNumberFormat="1" applyFont="1" applyBorder="1"/>
    <xf numFmtId="0" fontId="21" fillId="0" borderId="15" xfId="0" applyFont="1" applyBorder="1"/>
    <xf numFmtId="166" fontId="21" fillId="0" borderId="90" xfId="10" applyNumberFormat="1" applyFont="1" applyBorder="1"/>
    <xf numFmtId="166" fontId="21" fillId="0" borderId="14" xfId="10" applyNumberFormat="1" applyFont="1" applyBorder="1"/>
    <xf numFmtId="49" fontId="14" fillId="0" borderId="92" xfId="0" applyNumberFormat="1" applyFont="1" applyBorder="1"/>
    <xf numFmtId="49" fontId="14" fillId="0" borderId="16" xfId="0" applyNumberFormat="1" applyFont="1" applyBorder="1"/>
    <xf numFmtId="0" fontId="14" fillId="0" borderId="96" xfId="0" applyFont="1" applyBorder="1"/>
    <xf numFmtId="165" fontId="14" fillId="0" borderId="93" xfId="0" applyNumberFormat="1" applyFont="1" applyBorder="1"/>
    <xf numFmtId="165" fontId="14" fillId="0" borderId="94" xfId="0" applyNumberFormat="1" applyFont="1" applyBorder="1"/>
    <xf numFmtId="166" fontId="21" fillId="0" borderId="95" xfId="10" applyNumberFormat="1" applyFont="1" applyBorder="1"/>
    <xf numFmtId="0" fontId="21" fillId="0" borderId="12" xfId="0" applyFont="1" applyBorder="1"/>
    <xf numFmtId="3" fontId="14" fillId="0" borderId="15" xfId="0" applyNumberFormat="1" applyFont="1" applyBorder="1"/>
    <xf numFmtId="165" fontId="14" fillId="0" borderId="0" xfId="0" applyNumberFormat="1" applyFont="1"/>
    <xf numFmtId="0" fontId="50" fillId="0" borderId="0" xfId="0" applyFont="1"/>
    <xf numFmtId="165" fontId="14" fillId="0" borderId="95" xfId="0" applyNumberFormat="1" applyFont="1" applyBorder="1"/>
    <xf numFmtId="166" fontId="21" fillId="0" borderId="91" xfId="10" applyNumberFormat="1" applyFont="1" applyBorder="1"/>
    <xf numFmtId="0" fontId="21" fillId="17" borderId="16" xfId="0" applyFont="1" applyFill="1" applyBorder="1"/>
    <xf numFmtId="0" fontId="48" fillId="0" borderId="13" xfId="0" applyFont="1" applyBorder="1" applyAlignment="1">
      <alignment horizontal="center"/>
    </xf>
    <xf numFmtId="6" fontId="48" fillId="0" borderId="13" xfId="0" applyNumberFormat="1" applyFont="1" applyBorder="1"/>
    <xf numFmtId="6" fontId="48" fillId="0" borderId="89" xfId="0" applyNumberFormat="1" applyFont="1" applyBorder="1"/>
    <xf numFmtId="0" fontId="48" fillId="0" borderId="0" xfId="0" applyFont="1" applyAlignment="1">
      <alignment wrapText="1"/>
    </xf>
    <xf numFmtId="0" fontId="48" fillId="0" borderId="15" xfId="0" applyFont="1" applyBorder="1" applyAlignment="1">
      <alignment wrapText="1"/>
    </xf>
    <xf numFmtId="165" fontId="14" fillId="0" borderId="0" xfId="6" applyNumberFormat="1" applyFont="1" applyFill="1" applyBorder="1"/>
    <xf numFmtId="164" fontId="14" fillId="0" borderId="0" xfId="6" applyFont="1" applyFill="1" applyBorder="1"/>
    <xf numFmtId="164" fontId="14" fillId="0" borderId="15" xfId="6" applyFont="1" applyFill="1" applyBorder="1"/>
    <xf numFmtId="165" fontId="14" fillId="0" borderId="16" xfId="6" applyNumberFormat="1" applyFont="1" applyFill="1" applyBorder="1"/>
    <xf numFmtId="164" fontId="14" fillId="0" borderId="16" xfId="6" applyFont="1" applyFill="1" applyBorder="1"/>
    <xf numFmtId="164" fontId="14" fillId="0" borderId="90" xfId="6" applyFont="1" applyFill="1" applyBorder="1"/>
    <xf numFmtId="0" fontId="48" fillId="0" borderId="13" xfId="0" applyFont="1" applyBorder="1"/>
    <xf numFmtId="0" fontId="48" fillId="0" borderId="89" xfId="0" applyFont="1" applyBorder="1"/>
    <xf numFmtId="1" fontId="14" fillId="0" borderId="0" xfId="0" applyNumberFormat="1" applyFont="1" applyAlignment="1">
      <alignment horizontal="center" vertical="center"/>
    </xf>
    <xf numFmtId="1" fontId="14" fillId="0" borderId="15" xfId="0" applyNumberFormat="1" applyFont="1" applyBorder="1" applyAlignment="1">
      <alignment horizontal="center" vertical="center"/>
    </xf>
    <xf numFmtId="165" fontId="14" fillId="0" borderId="16" xfId="6" applyNumberFormat="1" applyFont="1" applyFill="1" applyBorder="1" applyAlignment="1">
      <alignment horizontal="center" vertical="center"/>
    </xf>
    <xf numFmtId="165" fontId="14" fillId="0" borderId="90" xfId="6" applyNumberFormat="1" applyFont="1" applyFill="1" applyBorder="1" applyAlignment="1">
      <alignment horizontal="center" vertical="center"/>
    </xf>
    <xf numFmtId="0" fontId="21" fillId="0" borderId="13" xfId="0" applyFont="1" applyBorder="1"/>
    <xf numFmtId="0" fontId="51" fillId="0" borderId="13" xfId="0" applyFont="1" applyBorder="1"/>
    <xf numFmtId="0" fontId="51" fillId="0" borderId="12" xfId="0" applyFont="1" applyBorder="1"/>
    <xf numFmtId="0" fontId="21" fillId="0" borderId="13" xfId="0" applyFont="1" applyBorder="1" applyAlignment="1">
      <alignment horizontal="right" wrapText="1"/>
    </xf>
    <xf numFmtId="0" fontId="21" fillId="0" borderId="89" xfId="0" applyFont="1" applyBorder="1" applyAlignment="1">
      <alignment horizontal="right" wrapText="1"/>
    </xf>
    <xf numFmtId="0" fontId="14" fillId="17" borderId="0" xfId="0" applyFont="1" applyFill="1"/>
    <xf numFmtId="0" fontId="14" fillId="17" borderId="15" xfId="0" applyFont="1" applyFill="1" applyBorder="1"/>
    <xf numFmtId="0" fontId="14" fillId="0" borderId="97" xfId="0" applyFont="1" applyBorder="1"/>
    <xf numFmtId="165" fontId="14" fillId="0" borderId="96" xfId="6" applyNumberFormat="1" applyFont="1" applyBorder="1"/>
    <xf numFmtId="165" fontId="14" fillId="0" borderId="98" xfId="6" applyNumberFormat="1" applyFont="1" applyBorder="1"/>
    <xf numFmtId="0" fontId="48" fillId="0" borderId="12" xfId="0" applyFont="1" applyBorder="1" applyAlignment="1">
      <alignment wrapText="1"/>
    </xf>
    <xf numFmtId="0" fontId="48" fillId="0" borderId="13" xfId="0" applyFont="1" applyBorder="1" applyAlignment="1">
      <alignment wrapText="1"/>
    </xf>
    <xf numFmtId="0" fontId="48" fillId="0" borderId="89" xfId="0" applyFont="1" applyBorder="1" applyAlignment="1">
      <alignment wrapText="1"/>
    </xf>
    <xf numFmtId="0" fontId="48" fillId="0" borderId="12" xfId="0" applyFont="1" applyBorder="1" applyAlignment="1">
      <alignment horizontal="right" wrapText="1"/>
    </xf>
    <xf numFmtId="0" fontId="48" fillId="0" borderId="13" xfId="0" applyFont="1" applyBorder="1" applyAlignment="1">
      <alignment horizontal="right" wrapText="1"/>
    </xf>
    <xf numFmtId="0" fontId="48" fillId="0" borderId="89" xfId="0" applyFont="1" applyBorder="1" applyAlignment="1">
      <alignment horizontal="right" wrapText="1"/>
    </xf>
    <xf numFmtId="0" fontId="51" fillId="0" borderId="14" xfId="0" applyFont="1" applyBorder="1"/>
    <xf numFmtId="0" fontId="51" fillId="0" borderId="0" xfId="0" applyFont="1"/>
    <xf numFmtId="0" fontId="14" fillId="17" borderId="14" xfId="0" applyFont="1" applyFill="1" applyBorder="1"/>
    <xf numFmtId="0" fontId="14" fillId="8" borderId="14" xfId="0" applyFont="1" applyFill="1" applyBorder="1"/>
    <xf numFmtId="0" fontId="14" fillId="8" borderId="15" xfId="0" applyFont="1" applyFill="1" applyBorder="1"/>
    <xf numFmtId="166" fontId="14" fillId="10" borderId="12" xfId="11" applyNumberFormat="1" applyFont="1" applyFill="1" applyBorder="1" applyAlignment="1">
      <alignment wrapText="1"/>
    </xf>
    <xf numFmtId="166" fontId="14" fillId="10" borderId="13" xfId="11" applyNumberFormat="1" applyFont="1" applyFill="1" applyBorder="1" applyAlignment="1">
      <alignment wrapText="1"/>
    </xf>
    <xf numFmtId="166" fontId="14" fillId="10" borderId="89" xfId="11" applyNumberFormat="1" applyFont="1" applyFill="1" applyBorder="1" applyAlignment="1">
      <alignment wrapText="1"/>
    </xf>
    <xf numFmtId="166" fontId="14" fillId="0" borderId="12" xfId="10" applyNumberFormat="1" applyFont="1" applyFill="1" applyBorder="1"/>
    <xf numFmtId="166" fontId="14" fillId="0" borderId="13" xfId="10" applyNumberFormat="1" applyFont="1" applyFill="1" applyBorder="1"/>
    <xf numFmtId="166" fontId="14" fillId="0" borderId="89" xfId="10" applyNumberFormat="1" applyFont="1" applyFill="1" applyBorder="1"/>
    <xf numFmtId="0" fontId="21" fillId="0" borderId="94" xfId="0" applyFont="1" applyBorder="1"/>
    <xf numFmtId="166" fontId="14" fillId="0" borderId="14" xfId="11" applyNumberFormat="1" applyFont="1" applyBorder="1" applyAlignment="1">
      <alignment wrapText="1"/>
    </xf>
    <xf numFmtId="166" fontId="14" fillId="0" borderId="0" xfId="11" applyNumberFormat="1" applyFont="1" applyBorder="1" applyAlignment="1">
      <alignment wrapText="1"/>
    </xf>
    <xf numFmtId="166" fontId="14" fillId="0" borderId="15" xfId="11" applyNumberFormat="1" applyFont="1" applyBorder="1" applyAlignment="1">
      <alignment wrapText="1"/>
    </xf>
    <xf numFmtId="166" fontId="14" fillId="0" borderId="14" xfId="10" applyNumberFormat="1" applyFont="1" applyFill="1" applyBorder="1"/>
    <xf numFmtId="166" fontId="14" fillId="0" borderId="0" xfId="10" applyNumberFormat="1" applyFont="1" applyFill="1" applyBorder="1"/>
    <xf numFmtId="166" fontId="14" fillId="0" borderId="15" xfId="10" applyNumberFormat="1" applyFont="1" applyFill="1" applyBorder="1"/>
    <xf numFmtId="0" fontId="21" fillId="0" borderId="95" xfId="0" applyFont="1" applyBorder="1"/>
    <xf numFmtId="166" fontId="14" fillId="10" borderId="92" xfId="11" applyNumberFormat="1" applyFont="1" applyFill="1" applyBorder="1" applyAlignment="1">
      <alignment wrapText="1"/>
    </xf>
    <xf numFmtId="166" fontId="14" fillId="10" borderId="16" xfId="11" applyNumberFormat="1" applyFont="1" applyFill="1" applyBorder="1" applyAlignment="1">
      <alignment wrapText="1"/>
    </xf>
    <xf numFmtId="166" fontId="14" fillId="10" borderId="90" xfId="11" applyNumberFormat="1" applyFont="1" applyFill="1" applyBorder="1" applyAlignment="1">
      <alignment wrapText="1"/>
    </xf>
    <xf numFmtId="166" fontId="14" fillId="0" borderId="92" xfId="10" applyNumberFormat="1" applyFont="1" applyFill="1" applyBorder="1"/>
    <xf numFmtId="166" fontId="14" fillId="0" borderId="16" xfId="10" applyNumberFormat="1" applyFont="1" applyFill="1" applyBorder="1"/>
    <xf numFmtId="166" fontId="14" fillId="0" borderId="90" xfId="10" applyNumberFormat="1" applyFont="1" applyFill="1" applyBorder="1"/>
    <xf numFmtId="166" fontId="14" fillId="10" borderId="14" xfId="11" applyNumberFormat="1" applyFont="1" applyFill="1" applyBorder="1" applyAlignment="1">
      <alignment wrapText="1"/>
    </xf>
    <xf numFmtId="166" fontId="14" fillId="10" borderId="0" xfId="11" applyNumberFormat="1" applyFont="1" applyFill="1" applyBorder="1" applyAlignment="1">
      <alignment wrapText="1"/>
    </xf>
    <xf numFmtId="166" fontId="14" fillId="10" borderId="15" xfId="11" applyNumberFormat="1" applyFont="1" applyFill="1" applyBorder="1" applyAlignment="1">
      <alignment wrapText="1"/>
    </xf>
    <xf numFmtId="4" fontId="11" fillId="5" borderId="52" xfId="6" applyNumberFormat="1" applyFont="1" applyFill="1" applyBorder="1" applyAlignment="1" applyProtection="1">
      <alignment vertical="top"/>
    </xf>
    <xf numFmtId="0" fontId="8" fillId="7" borderId="52" xfId="0" applyFont="1" applyFill="1" applyBorder="1" applyAlignment="1">
      <alignment horizontal="center" vertical="top" wrapText="1"/>
    </xf>
    <xf numFmtId="0" fontId="8" fillId="7" borderId="57" xfId="0" applyFont="1" applyFill="1" applyBorder="1" applyAlignment="1">
      <alignment horizontal="center" vertical="top" wrapText="1"/>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8" fillId="7" borderId="56" xfId="0" applyFont="1" applyFill="1" applyBorder="1" applyAlignment="1">
      <alignment horizontal="center" vertical="top" wrapTex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4" xfId="0" applyFont="1" applyFill="1" applyBorder="1" applyAlignment="1">
      <alignment horizontal="center" vertical="top"/>
    </xf>
    <xf numFmtId="0" fontId="6" fillId="3" borderId="0" xfId="0" applyFont="1" applyFill="1" applyAlignment="1">
      <alignment horizontal="center" vertical="top"/>
    </xf>
    <xf numFmtId="0" fontId="6" fillId="3" borderId="3" xfId="0" applyFont="1" applyFill="1" applyBorder="1" applyAlignment="1">
      <alignment horizontal="center" vertical="top"/>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6" fillId="3" borderId="7" xfId="0" applyFont="1" applyFill="1" applyBorder="1" applyAlignment="1">
      <alignment horizontal="center" vertical="top"/>
    </xf>
    <xf numFmtId="0" fontId="6" fillId="3" borderId="10" xfId="0" applyFont="1" applyFill="1" applyBorder="1" applyAlignment="1">
      <alignment horizontal="center" vertical="top"/>
    </xf>
    <xf numFmtId="0" fontId="6" fillId="3" borderId="8" xfId="0" applyFont="1" applyFill="1" applyBorder="1" applyAlignment="1">
      <alignment horizontal="center" vertical="top"/>
    </xf>
    <xf numFmtId="0" fontId="8" fillId="0" borderId="56" xfId="0" applyFont="1" applyBorder="1" applyAlignment="1">
      <alignment horizontal="left" vertical="center" wrapText="1"/>
    </xf>
    <xf numFmtId="0" fontId="8" fillId="0" borderId="52"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58" xfId="0" applyFont="1" applyBorder="1" applyAlignment="1">
      <alignment horizontal="left" vertical="center" wrapText="1"/>
    </xf>
    <xf numFmtId="0" fontId="8" fillId="0" borderId="53" xfId="0" applyFont="1" applyBorder="1" applyAlignment="1">
      <alignment horizontal="left" vertical="center" wrapText="1"/>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63" xfId="0" applyFont="1" applyBorder="1" applyAlignment="1">
      <alignment horizontal="left" vertical="center" wrapText="1"/>
    </xf>
    <xf numFmtId="0" fontId="8" fillId="0" borderId="54" xfId="0" applyFont="1" applyBorder="1" applyAlignment="1">
      <alignment horizontal="left" vertical="center" wrapText="1"/>
    </xf>
    <xf numFmtId="0" fontId="11" fillId="4" borderId="53" xfId="1" applyNumberFormat="1" applyFont="1" applyFill="1" applyBorder="1" applyAlignment="1" applyProtection="1">
      <alignment horizontal="left" vertical="center" wrapText="1"/>
      <protection locked="0"/>
    </xf>
    <xf numFmtId="0" fontId="11" fillId="4" borderId="59"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2"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4" xfId="1" applyNumberFormat="1" applyFont="1" applyFill="1" applyBorder="1" applyAlignment="1" applyProtection="1">
      <alignment horizontal="left" vertical="center" wrapText="1"/>
      <protection locked="0"/>
    </xf>
    <xf numFmtId="0" fontId="31" fillId="7" borderId="39"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38" xfId="0" applyFont="1" applyFill="1" applyBorder="1" applyAlignment="1">
      <alignment horizontal="center" vertical="center"/>
    </xf>
    <xf numFmtId="0" fontId="31" fillId="7" borderId="46" xfId="0" applyFont="1" applyFill="1" applyBorder="1" applyAlignment="1">
      <alignment horizontal="center" vertical="center"/>
    </xf>
    <xf numFmtId="0" fontId="31" fillId="7" borderId="47" xfId="0" applyFont="1" applyFill="1" applyBorder="1" applyAlignment="1">
      <alignment horizontal="center" vertical="center"/>
    </xf>
    <xf numFmtId="0" fontId="31" fillId="7" borderId="45" xfId="0" applyFont="1" applyFill="1" applyBorder="1" applyAlignment="1">
      <alignment horizontal="center" vertical="center"/>
    </xf>
    <xf numFmtId="0" fontId="11" fillId="4" borderId="4"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center" vertical="center" wrapText="1"/>
      <protection locked="0"/>
    </xf>
    <xf numFmtId="0" fontId="11" fillId="7" borderId="52" xfId="1" applyNumberFormat="1" applyFont="1" applyFill="1" applyBorder="1" applyAlignment="1" applyProtection="1">
      <alignment horizontal="left" vertical="center" wrapText="1" indent="2"/>
    </xf>
    <xf numFmtId="0" fontId="11" fillId="7" borderId="57" xfId="1" applyNumberFormat="1" applyFont="1" applyFill="1" applyBorder="1" applyAlignment="1" applyProtection="1">
      <alignment horizontal="left" vertical="center" wrapText="1" indent="2"/>
    </xf>
    <xf numFmtId="0" fontId="11" fillId="4" borderId="52"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8" fillId="0" borderId="37" xfId="0" applyFont="1" applyBorder="1" applyAlignment="1">
      <alignment horizontal="left" vertical="center" wrapText="1"/>
    </xf>
    <xf numFmtId="0" fontId="8" fillId="0" borderId="40" xfId="0" applyFont="1" applyBorder="1" applyAlignment="1">
      <alignment horizontal="left" vertical="center" wrapText="1"/>
    </xf>
    <xf numFmtId="0" fontId="8" fillId="0" borderId="38" xfId="0" applyFont="1" applyBorder="1" applyAlignment="1">
      <alignment horizontal="left" vertical="center" wrapText="1"/>
    </xf>
    <xf numFmtId="0" fontId="8" fillId="0" borderId="44" xfId="0" applyFont="1" applyBorder="1" applyAlignment="1">
      <alignment horizontal="left" vertical="center" wrapText="1"/>
    </xf>
    <xf numFmtId="0" fontId="8" fillId="0" borderId="47" xfId="0" applyFont="1" applyBorder="1" applyAlignment="1">
      <alignment horizontal="left" vertical="center" wrapText="1"/>
    </xf>
    <xf numFmtId="0" fontId="8" fillId="0" borderId="45" xfId="0" applyFont="1" applyBorder="1" applyAlignment="1">
      <alignment horizontal="left" vertical="center" wrapText="1"/>
    </xf>
    <xf numFmtId="0" fontId="11" fillId="4" borderId="39" xfId="1" applyNumberFormat="1" applyFont="1" applyFill="1" applyBorder="1" applyAlignment="1" applyProtection="1">
      <alignment horizontal="left" vertical="center" wrapText="1"/>
      <protection locked="0"/>
    </xf>
    <xf numFmtId="0" fontId="11" fillId="4" borderId="40"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11" fillId="4" borderId="48" xfId="1" applyNumberFormat="1" applyFont="1" applyFill="1" applyBorder="1" applyAlignment="1" applyProtection="1">
      <alignment horizontal="left" vertical="center" wrapText="1"/>
      <protection locked="0"/>
    </xf>
    <xf numFmtId="0" fontId="37" fillId="2" borderId="0" xfId="0" applyFont="1" applyFill="1" applyAlignment="1">
      <alignment horizontal="left" vertical="top" wrapText="1"/>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8" fillId="7" borderId="39"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42"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9" fillId="7" borderId="52" xfId="0" applyFont="1" applyFill="1" applyBorder="1" applyAlignment="1">
      <alignment horizontal="center" vertical="top" wrapText="1"/>
    </xf>
    <xf numFmtId="0" fontId="10" fillId="7" borderId="52" xfId="1" applyNumberFormat="1" applyFont="1" applyFill="1" applyBorder="1" applyAlignment="1" applyProtection="1">
      <alignment horizontal="center" vertical="top" wrapText="1"/>
    </xf>
    <xf numFmtId="0" fontId="10" fillId="7" borderId="57" xfId="1" applyNumberFormat="1" applyFont="1" applyFill="1" applyBorder="1" applyAlignment="1" applyProtection="1">
      <alignment horizontal="center" vertical="top" wrapText="1"/>
    </xf>
    <xf numFmtId="14" fontId="11" fillId="4" borderId="52" xfId="1" applyNumberFormat="1" applyFont="1" applyFill="1" applyBorder="1" applyAlignment="1" applyProtection="1">
      <alignment horizontal="left" vertical="center" wrapText="1"/>
      <protection locked="0"/>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35" fillId="15" borderId="0" xfId="0" applyFont="1" applyFill="1" applyAlignment="1">
      <alignment horizontal="center" vertical="top"/>
    </xf>
    <xf numFmtId="0" fontId="35" fillId="15" borderId="0" xfId="0" applyFont="1" applyFill="1" applyAlignment="1">
      <alignment horizontal="center" vertical="top" wrapText="1"/>
    </xf>
    <xf numFmtId="0" fontId="13" fillId="0" borderId="58" xfId="0" applyFont="1" applyBorder="1" applyAlignment="1">
      <alignment horizontal="left" vertical="center" wrapText="1"/>
    </xf>
    <xf numFmtId="0" fontId="13" fillId="0" borderId="53"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72" xfId="0" applyFont="1" applyBorder="1" applyAlignment="1">
      <alignment horizontal="left" vertical="center" wrapText="1"/>
    </xf>
    <xf numFmtId="0" fontId="13" fillId="0" borderId="65" xfId="0" applyFont="1" applyBorder="1" applyAlignment="1">
      <alignment horizontal="left" vertical="center" wrapText="1"/>
    </xf>
    <xf numFmtId="0" fontId="8" fillId="0" borderId="59" xfId="0" applyFont="1" applyBorder="1" applyAlignment="1">
      <alignment horizontal="left" vertical="center" wrapText="1"/>
    </xf>
    <xf numFmtId="0" fontId="8" fillId="0" borderId="62" xfId="0" applyFont="1" applyBorder="1" applyAlignment="1">
      <alignment horizontal="left" vertical="center" wrapText="1"/>
    </xf>
    <xf numFmtId="0" fontId="8" fillId="0" borderId="65" xfId="0" applyFont="1" applyBorder="1" applyAlignment="1">
      <alignment horizontal="left" vertical="center" wrapText="1"/>
    </xf>
    <xf numFmtId="0" fontId="8" fillId="0" borderId="73" xfId="0" applyFont="1" applyBorder="1" applyAlignment="1">
      <alignment horizontal="left" vertical="center" wrapText="1"/>
    </xf>
    <xf numFmtId="0" fontId="13" fillId="0" borderId="4"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8" fillId="0" borderId="43" xfId="0" applyFont="1" applyBorder="1" applyAlignment="1">
      <alignment horizontal="left" vertical="center" wrapText="1"/>
    </xf>
    <xf numFmtId="0" fontId="8" fillId="0" borderId="46" xfId="0" applyFont="1" applyBorder="1" applyAlignment="1">
      <alignment horizontal="left" vertical="center" wrapText="1"/>
    </xf>
    <xf numFmtId="0" fontId="8" fillId="0" borderId="48" xfId="0" applyFont="1" applyBorder="1" applyAlignment="1">
      <alignment horizontal="left" vertical="center" wrapText="1"/>
    </xf>
    <xf numFmtId="0" fontId="13" fillId="0" borderId="37" xfId="0" applyFont="1" applyBorder="1" applyAlignment="1">
      <alignment horizontal="left" vertical="center" wrapText="1"/>
    </xf>
    <xf numFmtId="0" fontId="13"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41" xfId="0" applyFont="1" applyBorder="1" applyAlignment="1">
      <alignment horizontal="left" vertical="center" wrapText="1"/>
    </xf>
    <xf numFmtId="0" fontId="40" fillId="0" borderId="4"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7" fillId="0" borderId="4" xfId="0" applyFont="1" applyBorder="1" applyAlignment="1">
      <alignment vertical="center" wrapText="1"/>
    </xf>
    <xf numFmtId="0" fontId="7" fillId="0" borderId="0" xfId="0" applyFont="1" applyAlignment="1">
      <alignment vertical="center" wrapText="1"/>
    </xf>
    <xf numFmtId="15" fontId="13" fillId="7" borderId="39" xfId="0" applyNumberFormat="1" applyFont="1" applyFill="1" applyBorder="1" applyAlignment="1">
      <alignment horizontal="center" vertical="center" wrapText="1"/>
    </xf>
    <xf numFmtId="15" fontId="13" fillId="7" borderId="40" xfId="0" applyNumberFormat="1" applyFont="1" applyFill="1" applyBorder="1" applyAlignment="1">
      <alignment horizontal="center" vertical="center" wrapText="1"/>
    </xf>
    <xf numFmtId="15" fontId="13" fillId="7" borderId="38" xfId="0" applyNumberFormat="1" applyFont="1" applyFill="1" applyBorder="1" applyAlignment="1">
      <alignment horizontal="center" vertical="center" wrapText="1"/>
    </xf>
    <xf numFmtId="15" fontId="13" fillId="7" borderId="43" xfId="0" applyNumberFormat="1" applyFont="1" applyFill="1" applyBorder="1" applyAlignment="1">
      <alignment horizontal="center" vertical="center" wrapText="1"/>
    </xf>
    <xf numFmtId="15" fontId="13" fillId="7" borderId="0" xfId="0" applyNumberFormat="1" applyFont="1" applyFill="1" applyAlignment="1">
      <alignment horizontal="center" vertical="center" wrapText="1"/>
    </xf>
    <xf numFmtId="15" fontId="13" fillId="7" borderId="42" xfId="0" applyNumberFormat="1" applyFont="1" applyFill="1" applyBorder="1" applyAlignment="1">
      <alignment horizontal="center" vertical="center" wrapText="1"/>
    </xf>
    <xf numFmtId="15" fontId="13" fillId="7" borderId="46" xfId="0" applyNumberFormat="1" applyFont="1" applyFill="1" applyBorder="1" applyAlignment="1">
      <alignment horizontal="center" vertical="center" wrapText="1"/>
    </xf>
    <xf numFmtId="15" fontId="13" fillId="7" borderId="47" xfId="0" applyNumberFormat="1" applyFont="1" applyFill="1" applyBorder="1" applyAlignment="1">
      <alignment horizontal="center" vertical="center" wrapText="1"/>
    </xf>
    <xf numFmtId="15" fontId="13" fillId="7" borderId="45" xfId="0" applyNumberFormat="1" applyFont="1" applyFill="1" applyBorder="1" applyAlignment="1">
      <alignment horizontal="center" vertical="center" wrapText="1"/>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36" fillId="16" borderId="1" xfId="0" applyFont="1" applyFill="1" applyBorder="1" applyAlignment="1">
      <alignment horizontal="center" vertical="top" wrapText="1"/>
    </xf>
    <xf numFmtId="0" fontId="36" fillId="16" borderId="11" xfId="0" applyFont="1" applyFill="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13" fillId="6" borderId="4" xfId="0" applyFont="1" applyFill="1" applyBorder="1" applyAlignment="1">
      <alignment horizontal="center" vertical="top" wrapText="1"/>
    </xf>
    <xf numFmtId="0" fontId="13" fillId="6" borderId="0" xfId="0" applyFont="1" applyFill="1" applyAlignment="1">
      <alignment horizontal="center" vertical="top" wrapText="1"/>
    </xf>
    <xf numFmtId="0" fontId="13" fillId="6" borderId="3" xfId="0" applyFont="1" applyFill="1" applyBorder="1" applyAlignment="1">
      <alignment horizontal="center" vertical="top" wrapText="1"/>
    </xf>
    <xf numFmtId="0" fontId="8" fillId="0" borderId="71"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7" fillId="2" borderId="7"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11" fillId="4" borderId="49" xfId="1" applyNumberFormat="1" applyFont="1" applyFill="1" applyBorder="1" applyAlignment="1" applyProtection="1">
      <alignment horizontal="left" vertical="top" wrapText="1"/>
      <protection locked="0"/>
    </xf>
    <xf numFmtId="0" fontId="11" fillId="4" borderId="50" xfId="1" applyNumberFormat="1" applyFont="1" applyFill="1" applyBorder="1" applyAlignment="1" applyProtection="1">
      <alignment horizontal="left" vertical="top" wrapText="1"/>
      <protection locked="0"/>
    </xf>
    <xf numFmtId="0" fontId="11" fillId="4" borderId="70" xfId="1" applyNumberFormat="1" applyFont="1" applyFill="1" applyBorder="1" applyAlignment="1" applyProtection="1">
      <alignment horizontal="left" vertical="top" wrapText="1"/>
      <protection locked="0"/>
    </xf>
    <xf numFmtId="0" fontId="9" fillId="2" borderId="56" xfId="0" applyFont="1" applyFill="1" applyBorder="1" applyAlignment="1">
      <alignment horizontal="center" vertical="center"/>
    </xf>
    <xf numFmtId="0" fontId="13" fillId="7" borderId="52" xfId="0" applyFont="1" applyFill="1" applyBorder="1" applyAlignment="1">
      <alignment horizontal="center" vertical="center" wrapText="1"/>
    </xf>
    <xf numFmtId="0" fontId="13" fillId="7" borderId="57"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11" fillId="4" borderId="51"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8" fillId="7" borderId="52" xfId="0" applyFont="1" applyFill="1" applyBorder="1" applyAlignment="1">
      <alignment horizontal="left" vertical="top" wrapText="1"/>
    </xf>
    <xf numFmtId="0" fontId="8" fillId="7" borderId="5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36" fillId="16" borderId="2" xfId="0" applyFont="1" applyFill="1" applyBorder="1" applyAlignment="1">
      <alignment horizontal="center" vertical="top" wrapText="1"/>
    </xf>
    <xf numFmtId="0" fontId="6" fillId="3" borderId="0" xfId="0" applyFont="1" applyFill="1" applyAlignment="1">
      <alignment horizontal="left" vertical="center" wrapText="1"/>
    </xf>
    <xf numFmtId="0" fontId="38" fillId="3" borderId="9" xfId="0" applyFont="1" applyFill="1" applyBorder="1" applyAlignment="1">
      <alignment horizontal="center" vertical="top" wrapText="1"/>
    </xf>
    <xf numFmtId="0" fontId="38" fillId="3" borderId="6" xfId="0" applyFont="1" applyFill="1" applyBorder="1" applyAlignment="1">
      <alignment horizontal="center"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36" fillId="7" borderId="56" xfId="0" applyFont="1" applyFill="1" applyBorder="1" applyAlignment="1">
      <alignment horizontal="center" vertical="center" wrapText="1"/>
    </xf>
    <xf numFmtId="0" fontId="36" fillId="7" borderId="52" xfId="0" applyFont="1" applyFill="1" applyBorder="1" applyAlignment="1">
      <alignment horizontal="center" vertical="center" wrapText="1"/>
    </xf>
    <xf numFmtId="0" fontId="3" fillId="7" borderId="52" xfId="0" applyFont="1" applyFill="1" applyBorder="1" applyAlignment="1">
      <alignment horizontal="center" vertical="center" wrapText="1"/>
    </xf>
    <xf numFmtId="0" fontId="3" fillId="7" borderId="57" xfId="0" applyFont="1" applyFill="1" applyBorder="1" applyAlignment="1">
      <alignment horizontal="center" vertical="center" wrapText="1"/>
    </xf>
    <xf numFmtId="49" fontId="11" fillId="4" borderId="71" xfId="1" applyNumberFormat="1" applyFont="1" applyFill="1" applyBorder="1" applyAlignment="1" applyProtection="1">
      <alignment horizontal="center" vertical="center" wrapText="1"/>
      <protection locked="0"/>
    </xf>
    <xf numFmtId="49" fontId="11" fillId="4" borderId="51" xfId="1" applyNumberFormat="1" applyFont="1" applyFill="1" applyBorder="1" applyAlignment="1" applyProtection="1">
      <alignment horizontal="center" vertical="center" wrapText="1"/>
      <protection locked="0"/>
    </xf>
    <xf numFmtId="49" fontId="11" fillId="4" borderId="49" xfId="1" applyNumberFormat="1" applyFont="1" applyFill="1" applyBorder="1" applyAlignment="1" applyProtection="1">
      <alignment horizontal="center" vertical="center" wrapText="1"/>
      <protection locked="0"/>
    </xf>
    <xf numFmtId="0" fontId="11" fillId="4" borderId="39" xfId="1" applyNumberFormat="1" applyFont="1" applyFill="1" applyBorder="1" applyAlignment="1" applyProtection="1">
      <alignment horizontal="left" vertical="top" wrapText="1"/>
      <protection locked="0"/>
    </xf>
    <xf numFmtId="0" fontId="11" fillId="4" borderId="40"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47" xfId="1" applyNumberFormat="1" applyFont="1" applyFill="1" applyBorder="1" applyAlignment="1" applyProtection="1">
      <alignment horizontal="left" vertical="top" wrapText="1"/>
      <protection locked="0"/>
    </xf>
    <xf numFmtId="0" fontId="11" fillId="4" borderId="48" xfId="1" applyNumberFormat="1" applyFont="1" applyFill="1" applyBorder="1" applyAlignment="1" applyProtection="1">
      <alignment horizontal="left" vertical="top" wrapText="1"/>
      <protection locked="0"/>
    </xf>
    <xf numFmtId="0" fontId="11" fillId="4" borderId="82"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70" xfId="0" applyFont="1" applyFill="1" applyBorder="1" applyAlignment="1">
      <alignment horizontal="center" vertical="center" wrapText="1"/>
    </xf>
    <xf numFmtId="0" fontId="8" fillId="0" borderId="58" xfId="0" applyFont="1" applyBorder="1" applyAlignment="1">
      <alignment horizontal="left" vertical="top" wrapText="1"/>
    </xf>
    <xf numFmtId="0" fontId="8" fillId="0" borderId="60" xfId="0" applyFont="1" applyBorder="1" applyAlignment="1">
      <alignment horizontal="left" vertical="top" wrapText="1"/>
    </xf>
    <xf numFmtId="0" fontId="8" fillId="0" borderId="63" xfId="0" applyFont="1" applyBorder="1" applyAlignment="1">
      <alignment horizontal="left" vertical="top" wrapText="1"/>
    </xf>
    <xf numFmtId="0" fontId="11" fillId="4" borderId="53" xfId="1" applyNumberFormat="1" applyFont="1" applyFill="1" applyBorder="1" applyAlignment="1" applyProtection="1">
      <alignment horizontal="center" vertical="top" wrapText="1"/>
      <protection locked="0"/>
    </xf>
    <xf numFmtId="0" fontId="11" fillId="4" borderId="61" xfId="1" applyNumberFormat="1" applyFont="1" applyFill="1" applyBorder="1" applyAlignment="1" applyProtection="1">
      <alignment horizontal="center" vertical="top" wrapText="1"/>
      <protection locked="0"/>
    </xf>
    <xf numFmtId="0" fontId="11" fillId="4" borderId="54" xfId="1" applyNumberFormat="1" applyFont="1" applyFill="1" applyBorder="1" applyAlignment="1" applyProtection="1">
      <alignment horizontal="center" vertical="top" wrapText="1"/>
      <protection locked="0"/>
    </xf>
    <xf numFmtId="0" fontId="11" fillId="4" borderId="65" xfId="1" applyNumberFormat="1" applyFont="1" applyFill="1" applyBorder="1" applyAlignment="1" applyProtection="1">
      <alignment horizontal="center" vertical="top" wrapText="1"/>
      <protection locked="0"/>
    </xf>
    <xf numFmtId="0" fontId="7" fillId="4" borderId="4" xfId="0" applyFont="1" applyFill="1" applyBorder="1" applyAlignment="1" applyProtection="1">
      <alignment vertical="top" wrapText="1"/>
      <protection locked="0"/>
    </xf>
    <xf numFmtId="0" fontId="7" fillId="4" borderId="0" xfId="0" applyFont="1" applyFill="1" applyAlignment="1" applyProtection="1">
      <alignment vertical="top" wrapText="1"/>
      <protection locked="0"/>
    </xf>
    <xf numFmtId="0" fontId="7" fillId="4" borderId="3" xfId="0" applyFont="1" applyFill="1" applyBorder="1" applyAlignment="1" applyProtection="1">
      <alignment vertical="top" wrapText="1"/>
      <protection locked="0"/>
    </xf>
    <xf numFmtId="0" fontId="13" fillId="0" borderId="71"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0" borderId="51"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50" xfId="0" applyFont="1" applyBorder="1" applyAlignment="1">
      <alignment horizontal="left" vertical="center" wrapText="1" indent="1"/>
    </xf>
    <xf numFmtId="0" fontId="8" fillId="0" borderId="51" xfId="0" applyFont="1" applyBorder="1" applyAlignment="1">
      <alignment horizontal="left" vertical="center" wrapText="1" indent="1"/>
    </xf>
    <xf numFmtId="0" fontId="9" fillId="7" borderId="52" xfId="0" applyFont="1" applyFill="1" applyBorder="1" applyAlignment="1">
      <alignment horizontal="center" vertical="center" wrapText="1"/>
    </xf>
    <xf numFmtId="0" fontId="13" fillId="7" borderId="71" xfId="0" applyFont="1" applyFill="1" applyBorder="1" applyAlignment="1">
      <alignment horizontal="center" vertical="top" wrapText="1"/>
    </xf>
    <xf numFmtId="0" fontId="13" fillId="7" borderId="50" xfId="0" applyFont="1" applyFill="1" applyBorder="1" applyAlignment="1">
      <alignment horizontal="center" vertical="top" wrapText="1"/>
    </xf>
    <xf numFmtId="0" fontId="13" fillId="7" borderId="51" xfId="0" applyFont="1" applyFill="1" applyBorder="1" applyAlignment="1">
      <alignment horizontal="center" vertical="top" wrapText="1"/>
    </xf>
    <xf numFmtId="0" fontId="8" fillId="0" borderId="71"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51" xfId="0" applyFont="1" applyBorder="1" applyAlignment="1">
      <alignment horizontal="right" vertical="top" wrapText="1" indent="1"/>
    </xf>
    <xf numFmtId="0" fontId="7" fillId="2" borderId="37" xfId="0" applyFont="1" applyFill="1" applyBorder="1" applyAlignment="1">
      <alignment horizontal="right" vertical="top" wrapText="1" indent="1"/>
    </xf>
    <xf numFmtId="0" fontId="7" fillId="2" borderId="40" xfId="0" applyFont="1" applyFill="1" applyBorder="1" applyAlignment="1">
      <alignment horizontal="right" vertical="top" wrapText="1" indent="1"/>
    </xf>
    <xf numFmtId="0" fontId="7" fillId="2" borderId="38" xfId="0" applyFont="1" applyFill="1" applyBorder="1" applyAlignment="1">
      <alignment horizontal="right" vertical="top" wrapText="1" indent="1"/>
    </xf>
    <xf numFmtId="0" fontId="7" fillId="2" borderId="44" xfId="0" applyFont="1" applyFill="1" applyBorder="1" applyAlignment="1">
      <alignment horizontal="right" vertical="top" wrapText="1" indent="1"/>
    </xf>
    <xf numFmtId="0" fontId="7" fillId="2" borderId="47" xfId="0" applyFont="1" applyFill="1" applyBorder="1" applyAlignment="1">
      <alignment horizontal="right" vertical="top" wrapText="1" indent="1"/>
    </xf>
    <xf numFmtId="0" fontId="7" fillId="2" borderId="45" xfId="0" applyFont="1" applyFill="1" applyBorder="1" applyAlignment="1">
      <alignment horizontal="right" vertical="top" wrapText="1" indent="1"/>
    </xf>
    <xf numFmtId="0" fontId="7" fillId="2" borderId="37" xfId="0" applyFont="1" applyFill="1" applyBorder="1" applyAlignment="1">
      <alignment horizontal="right" vertical="center" wrapText="1" indent="1"/>
    </xf>
    <xf numFmtId="0" fontId="7" fillId="2" borderId="40" xfId="0" applyFont="1" applyFill="1" applyBorder="1" applyAlignment="1">
      <alignment horizontal="right" vertical="center" wrapText="1" indent="1"/>
    </xf>
    <xf numFmtId="0" fontId="7" fillId="2" borderId="38" xfId="0" applyFont="1" applyFill="1" applyBorder="1" applyAlignment="1">
      <alignment horizontal="right" vertical="center" wrapText="1" indent="1"/>
    </xf>
    <xf numFmtId="0" fontId="7" fillId="2" borderId="4"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42" xfId="0" applyFont="1" applyFill="1" applyBorder="1" applyAlignment="1">
      <alignment horizontal="right" vertical="center" wrapText="1" indent="1"/>
    </xf>
    <xf numFmtId="0" fontId="7" fillId="2" borderId="44" xfId="0" applyFont="1" applyFill="1" applyBorder="1" applyAlignment="1">
      <alignment horizontal="right" vertical="center" wrapText="1" indent="1"/>
    </xf>
    <xf numFmtId="0" fontId="7" fillId="2" borderId="47" xfId="0" applyFont="1" applyFill="1" applyBorder="1" applyAlignment="1">
      <alignment horizontal="right" vertical="center" wrapText="1" indent="1"/>
    </xf>
    <xf numFmtId="0" fontId="7" fillId="2" borderId="45" xfId="0" applyFont="1" applyFill="1" applyBorder="1" applyAlignment="1">
      <alignment horizontal="right" vertical="center" wrapText="1" indent="1"/>
    </xf>
    <xf numFmtId="0" fontId="8" fillId="0" borderId="71" xfId="0" applyFont="1" applyBorder="1" applyAlignment="1">
      <alignment horizontal="right" vertical="center" wrapText="1" indent="1"/>
    </xf>
    <xf numFmtId="0" fontId="8" fillId="0" borderId="50" xfId="0" applyFont="1" applyBorder="1" applyAlignment="1">
      <alignment horizontal="right" vertical="center" wrapText="1" indent="1"/>
    </xf>
    <xf numFmtId="0" fontId="8" fillId="0" borderId="51" xfId="0" applyFont="1" applyBorder="1" applyAlignment="1">
      <alignment horizontal="right" vertical="center" wrapText="1" indent="1"/>
    </xf>
    <xf numFmtId="0" fontId="13" fillId="7" borderId="71" xfId="0" applyFont="1" applyFill="1" applyBorder="1" applyAlignment="1">
      <alignment horizontal="center" vertical="top"/>
    </xf>
    <xf numFmtId="0" fontId="13" fillId="7" borderId="50" xfId="0" applyFont="1" applyFill="1" applyBorder="1" applyAlignment="1">
      <alignment horizontal="center" vertical="top"/>
    </xf>
    <xf numFmtId="0" fontId="13" fillId="7" borderId="51" xfId="0" applyFont="1" applyFill="1" applyBorder="1" applyAlignment="1">
      <alignment horizontal="center" vertical="top"/>
    </xf>
    <xf numFmtId="0" fontId="8" fillId="0" borderId="56" xfId="0" applyFont="1" applyBorder="1" applyAlignment="1">
      <alignment horizontal="right" vertical="center" wrapText="1" indent="1"/>
    </xf>
    <xf numFmtId="0" fontId="8" fillId="0" borderId="52" xfId="0" applyFont="1" applyBorder="1" applyAlignment="1">
      <alignment horizontal="right" vertical="center" wrapText="1" indent="1"/>
    </xf>
    <xf numFmtId="0" fontId="13" fillId="7" borderId="56" xfId="0" applyFont="1" applyFill="1" applyBorder="1" applyAlignment="1">
      <alignment horizontal="center" vertical="center" wrapText="1"/>
    </xf>
    <xf numFmtId="165" fontId="11" fillId="5" borderId="52" xfId="1" applyNumberFormat="1" applyFont="1" applyFill="1" applyBorder="1" applyAlignment="1" applyProtection="1">
      <alignment vertical="center"/>
    </xf>
    <xf numFmtId="165" fontId="11" fillId="5" borderId="53" xfId="1" applyNumberFormat="1" applyFont="1" applyFill="1" applyBorder="1" applyAlignment="1" applyProtection="1">
      <alignment vertical="center"/>
    </xf>
    <xf numFmtId="165" fontId="11" fillId="5" borderId="54" xfId="1" applyNumberFormat="1" applyFont="1" applyFill="1" applyBorder="1" applyAlignment="1" applyProtection="1">
      <alignment vertical="center"/>
    </xf>
    <xf numFmtId="0" fontId="13" fillId="7" borderId="7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3" fillId="7" borderId="51" xfId="0" applyFont="1" applyFill="1" applyBorder="1" applyAlignment="1">
      <alignment horizontal="center" vertical="center" wrapText="1"/>
    </xf>
    <xf numFmtId="0" fontId="8" fillId="0" borderId="49" xfId="0" applyFont="1" applyBorder="1" applyAlignment="1">
      <alignment horizontal="right" vertical="top" wrapText="1"/>
    </xf>
    <xf numFmtId="0" fontId="8" fillId="0" borderId="51" xfId="0" applyFont="1" applyBorder="1" applyAlignment="1">
      <alignment horizontal="right" vertical="top" wrapText="1"/>
    </xf>
    <xf numFmtId="0" fontId="8" fillId="0" borderId="79" xfId="0" applyFont="1" applyBorder="1" applyAlignment="1">
      <alignment horizontal="right" vertical="top" wrapText="1"/>
    </xf>
    <xf numFmtId="0" fontId="8" fillId="0" borderId="80" xfId="0" applyFont="1" applyBorder="1" applyAlignment="1">
      <alignment horizontal="right" vertical="top" wrapText="1"/>
    </xf>
    <xf numFmtId="0" fontId="7" fillId="0" borderId="52" xfId="0" applyFont="1" applyBorder="1" applyAlignment="1">
      <alignment horizontal="right" vertical="center" wrapText="1" indent="1"/>
    </xf>
    <xf numFmtId="0" fontId="11" fillId="4" borderId="57"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8" fillId="0" borderId="77" xfId="0" applyFont="1" applyBorder="1" applyAlignment="1">
      <alignment horizontal="right" vertical="top" wrapText="1"/>
    </xf>
    <xf numFmtId="0" fontId="8" fillId="0" borderId="78" xfId="0" applyFont="1" applyBorder="1" applyAlignment="1">
      <alignment horizontal="right" vertical="top" wrapText="1"/>
    </xf>
    <xf numFmtId="0" fontId="8" fillId="0" borderId="68" xfId="0" applyFont="1" applyBorder="1" applyAlignment="1">
      <alignment horizontal="left" vertical="center" wrapText="1" indent="1"/>
    </xf>
    <xf numFmtId="0" fontId="8" fillId="0" borderId="69" xfId="0" applyFont="1" applyBorder="1" applyAlignment="1">
      <alignment horizontal="left" vertical="center" wrapText="1" indent="1"/>
    </xf>
    <xf numFmtId="0" fontId="8" fillId="0" borderId="56" xfId="0" applyFont="1" applyBorder="1" applyAlignment="1">
      <alignment horizontal="left" vertical="center" wrapText="1" indent="1"/>
    </xf>
    <xf numFmtId="0" fontId="8" fillId="0" borderId="52" xfId="0" applyFont="1" applyBorder="1" applyAlignment="1">
      <alignment horizontal="left" vertical="center" wrapText="1" indent="1"/>
    </xf>
    <xf numFmtId="0" fontId="8" fillId="0" borderId="66" xfId="0" applyFont="1" applyBorder="1" applyAlignment="1">
      <alignment horizontal="left" vertical="center" wrapText="1" indent="1"/>
    </xf>
    <xf numFmtId="0" fontId="8" fillId="0" borderId="67" xfId="0" applyFont="1" applyBorder="1" applyAlignment="1">
      <alignment horizontal="left" vertical="center" wrapText="1" indent="1"/>
    </xf>
    <xf numFmtId="0" fontId="7" fillId="0" borderId="69" xfId="0" applyFont="1" applyBorder="1" applyAlignment="1">
      <alignment horizontal="left" vertical="center" wrapText="1" indent="1"/>
    </xf>
    <xf numFmtId="0" fontId="7" fillId="0" borderId="52" xfId="0" applyFont="1" applyBorder="1" applyAlignment="1">
      <alignment horizontal="left" vertical="center" wrapText="1" indent="1"/>
    </xf>
    <xf numFmtId="0" fontId="7" fillId="0" borderId="67" xfId="0" applyFont="1" applyBorder="1" applyAlignment="1">
      <alignment horizontal="left" vertical="center" wrapText="1" indent="1"/>
    </xf>
    <xf numFmtId="165" fontId="11" fillId="5" borderId="53" xfId="6" applyNumberFormat="1" applyFont="1" applyFill="1" applyBorder="1" applyAlignment="1" applyProtection="1">
      <alignment vertical="center"/>
    </xf>
    <xf numFmtId="165" fontId="11" fillId="5" borderId="54" xfId="6" applyNumberFormat="1" applyFont="1" applyFill="1" applyBorder="1" applyAlignment="1" applyProtection="1">
      <alignment vertical="center"/>
    </xf>
    <xf numFmtId="0" fontId="8" fillId="0" borderId="63" xfId="0" applyFont="1" applyBorder="1" applyAlignment="1">
      <alignment horizontal="left" vertical="center" wrapText="1" indent="1"/>
    </xf>
    <xf numFmtId="0" fontId="7" fillId="0" borderId="54" xfId="0" applyFont="1" applyBorder="1" applyAlignment="1">
      <alignment horizontal="left" vertical="center" wrapText="1" indent="1"/>
    </xf>
    <xf numFmtId="0" fontId="8" fillId="0" borderId="37"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45" xfId="0" applyFont="1" applyBorder="1" applyAlignment="1">
      <alignment horizontal="left" vertical="center" wrapText="1" indent="1"/>
    </xf>
    <xf numFmtId="0" fontId="6" fillId="3" borderId="4" xfId="0" applyFont="1" applyFill="1" applyBorder="1" applyAlignment="1">
      <alignment horizontal="left" wrapText="1"/>
    </xf>
    <xf numFmtId="0" fontId="6" fillId="3" borderId="0" xfId="0" applyFont="1" applyFill="1" applyAlignment="1">
      <alignment horizontal="left" wrapText="1"/>
    </xf>
    <xf numFmtId="0" fontId="6" fillId="3" borderId="3" xfId="0" applyFont="1" applyFill="1" applyBorder="1" applyAlignment="1">
      <alignment horizontal="left" wrapText="1"/>
    </xf>
    <xf numFmtId="0" fontId="9" fillId="7" borderId="81" xfId="0" applyFont="1" applyFill="1" applyBorder="1" applyAlignment="1">
      <alignment horizontal="center" vertical="center" wrapTex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84" xfId="0" applyFont="1" applyBorder="1" applyAlignment="1">
      <alignment horizontal="left" wrapText="1" indent="1"/>
    </xf>
    <xf numFmtId="0" fontId="8" fillId="0" borderId="85" xfId="0" applyFont="1" applyBorder="1" applyAlignment="1">
      <alignment horizontal="left" wrapText="1" inden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8" fillId="0" borderId="71" xfId="0" applyFont="1" applyBorder="1" applyAlignment="1">
      <alignment horizontal="left" vertical="top" wrapText="1" indent="1"/>
    </xf>
    <xf numFmtId="0" fontId="8" fillId="0" borderId="50" xfId="0" applyFont="1" applyBorder="1" applyAlignment="1">
      <alignment horizontal="left" vertical="top" wrapText="1" indent="1"/>
    </xf>
    <xf numFmtId="0" fontId="8" fillId="0" borderId="51" xfId="0" applyFont="1" applyBorder="1" applyAlignment="1">
      <alignment horizontal="left" vertical="top" wrapText="1" inden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13" fillId="0" borderId="71"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13" fillId="0" borderId="56" xfId="0" applyFont="1" applyBorder="1" applyAlignment="1">
      <alignment horizontal="left" vertical="top" wrapText="1" indent="1"/>
    </xf>
    <xf numFmtId="0" fontId="13" fillId="0" borderId="52" xfId="0" applyFont="1" applyBorder="1" applyAlignment="1">
      <alignment horizontal="left" vertical="top" wrapText="1" indent="1"/>
    </xf>
    <xf numFmtId="0" fontId="8" fillId="0" borderId="56" xfId="0" applyFont="1" applyBorder="1" applyAlignment="1">
      <alignment horizontal="left" vertical="top" wrapText="1" indent="1"/>
    </xf>
    <xf numFmtId="0" fontId="8" fillId="0" borderId="52" xfId="0" applyFont="1" applyBorder="1" applyAlignment="1">
      <alignment horizontal="left" vertical="top" wrapText="1" indent="1"/>
    </xf>
    <xf numFmtId="0" fontId="8" fillId="0" borderId="56" xfId="0" applyFont="1" applyBorder="1" applyAlignment="1">
      <alignment horizontal="left" vertical="top" wrapText="1" indent="2"/>
    </xf>
    <xf numFmtId="0" fontId="8" fillId="0" borderId="52" xfId="0" applyFont="1" applyBorder="1" applyAlignment="1">
      <alignment horizontal="left" vertical="top" wrapText="1" indent="2"/>
    </xf>
    <xf numFmtId="0" fontId="13" fillId="0" borderId="71" xfId="0" applyFont="1" applyBorder="1" applyAlignment="1">
      <alignment horizontal="left" vertical="top" wrapText="1" indent="1"/>
    </xf>
    <xf numFmtId="0" fontId="13" fillId="0" borderId="50" xfId="0" applyFont="1" applyBorder="1" applyAlignment="1">
      <alignment horizontal="left" vertical="top" wrapText="1" indent="1"/>
    </xf>
    <xf numFmtId="0" fontId="13" fillId="0" borderId="51" xfId="0" applyFont="1" applyBorder="1" applyAlignment="1">
      <alignment horizontal="left" vertical="top" wrapText="1" indent="1"/>
    </xf>
    <xf numFmtId="0" fontId="13" fillId="0" borderId="56" xfId="0" applyFont="1" applyBorder="1" applyAlignment="1">
      <alignment horizontal="left" vertical="top" wrapText="1" indent="2"/>
    </xf>
    <xf numFmtId="0" fontId="13" fillId="0" borderId="52" xfId="0" applyFont="1" applyBorder="1" applyAlignment="1">
      <alignment horizontal="left" vertical="top" wrapText="1" indent="2"/>
    </xf>
    <xf numFmtId="0" fontId="9" fillId="7" borderId="56" xfId="0" applyFont="1" applyFill="1" applyBorder="1" applyAlignment="1">
      <alignment horizontal="center" vertical="center" wrapText="1"/>
    </xf>
    <xf numFmtId="0" fontId="8" fillId="0" borderId="56" xfId="0" applyFont="1" applyBorder="1" applyAlignment="1">
      <alignment horizontal="center" vertical="center" wrapText="1"/>
    </xf>
    <xf numFmtId="1" fontId="43" fillId="5" borderId="53" xfId="1" applyNumberFormat="1" applyFont="1" applyFill="1" applyBorder="1" applyAlignment="1" applyProtection="1">
      <alignment horizontal="center" vertical="center" wrapText="1"/>
    </xf>
    <xf numFmtId="1" fontId="43" fillId="5" borderId="61" xfId="1" applyNumberFormat="1" applyFont="1" applyFill="1" applyBorder="1" applyAlignment="1" applyProtection="1">
      <alignment horizontal="center" vertical="center" wrapText="1"/>
    </xf>
    <xf numFmtId="1" fontId="43" fillId="5" borderId="54" xfId="1" applyNumberFormat="1" applyFont="1" applyFill="1" applyBorder="1" applyAlignment="1" applyProtection="1">
      <alignment horizontal="center"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13" fillId="7" borderId="37"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0" borderId="74" xfId="0" applyFont="1" applyBorder="1" applyAlignment="1">
      <alignment horizontal="left" vertical="center" wrapText="1"/>
    </xf>
    <xf numFmtId="0" fontId="8" fillId="0" borderId="75" xfId="0" applyFont="1" applyBorder="1" applyAlignment="1">
      <alignment horizontal="left" vertical="center" wrapText="1"/>
    </xf>
    <xf numFmtId="0" fontId="11" fillId="4" borderId="52" xfId="1" applyNumberFormat="1" applyFont="1" applyFill="1" applyBorder="1" applyAlignment="1" applyProtection="1">
      <alignment horizontal="left" vertical="top" wrapText="1"/>
      <protection locked="0"/>
    </xf>
    <xf numFmtId="0" fontId="11" fillId="4" borderId="75"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42" xfId="0" applyFont="1" applyBorder="1" applyAlignment="1">
      <alignment horizontal="left" vertical="center" wrapText="1"/>
    </xf>
    <xf numFmtId="0" fontId="9" fillId="7" borderId="57"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9" fillId="7" borderId="63" xfId="0" applyFont="1" applyFill="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2"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4" borderId="71" xfId="0" applyFont="1" applyFill="1" applyBorder="1" applyAlignment="1" applyProtection="1">
      <alignment horizontal="center" vertical="center" wrapText="1"/>
      <protection locked="0"/>
    </xf>
    <xf numFmtId="0" fontId="8" fillId="4" borderId="51" xfId="0" applyFont="1" applyFill="1" applyBorder="1" applyAlignment="1" applyProtection="1">
      <alignment horizontal="center" vertical="center" wrapText="1"/>
      <protection locked="0"/>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0" fontId="13" fillId="7" borderId="56" xfId="0" applyFont="1" applyFill="1" applyBorder="1" applyAlignment="1">
      <alignment horizontal="center" vertical="top" wrapText="1"/>
    </xf>
    <xf numFmtId="0" fontId="13" fillId="7" borderId="52" xfId="0" applyFont="1" applyFill="1" applyBorder="1" applyAlignment="1">
      <alignment horizontal="center" vertical="top" wrapText="1"/>
    </xf>
    <xf numFmtId="0" fontId="13" fillId="7" borderId="57" xfId="0" applyFont="1" applyFill="1" applyBorder="1" applyAlignment="1">
      <alignment horizontal="center" vertical="top" wrapText="1"/>
    </xf>
    <xf numFmtId="0" fontId="11" fillId="4" borderId="38"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3" fontId="11" fillId="4" borderId="39" xfId="1" applyNumberFormat="1" applyFont="1" applyFill="1" applyBorder="1" applyAlignment="1" applyProtection="1">
      <alignment horizontal="left" vertical="center" wrapText="1"/>
      <protection locked="0"/>
    </xf>
    <xf numFmtId="3" fontId="11" fillId="4" borderId="38" xfId="1" applyNumberFormat="1" applyFont="1" applyFill="1" applyBorder="1" applyAlignment="1" applyProtection="1">
      <alignment horizontal="left" vertical="center" wrapText="1"/>
      <protection locked="0"/>
    </xf>
    <xf numFmtId="3" fontId="11" fillId="4" borderId="46" xfId="1" applyNumberFormat="1" applyFont="1" applyFill="1" applyBorder="1" applyAlignment="1" applyProtection="1">
      <alignment horizontal="left" vertical="center" wrapText="1"/>
      <protection locked="0"/>
    </xf>
    <xf numFmtId="3" fontId="11" fillId="4" borderId="45" xfId="1" applyNumberFormat="1" applyFont="1" applyFill="1" applyBorder="1" applyAlignment="1" applyProtection="1">
      <alignment horizontal="left" vertical="center" wrapText="1"/>
      <protection locked="0"/>
    </xf>
    <xf numFmtId="3" fontId="11" fillId="4" borderId="41" xfId="1" applyNumberFormat="1" applyFont="1" applyFill="1" applyBorder="1" applyAlignment="1" applyProtection="1">
      <alignment horizontal="left" vertical="center" wrapText="1"/>
      <protection locked="0"/>
    </xf>
    <xf numFmtId="3" fontId="11" fillId="4" borderId="48" xfId="1" applyNumberFormat="1" applyFont="1" applyFill="1" applyBorder="1" applyAlignment="1" applyProtection="1">
      <alignment horizontal="left" vertical="center" wrapText="1"/>
      <protection locked="0"/>
    </xf>
    <xf numFmtId="0" fontId="9" fillId="14" borderId="49" xfId="0" applyFont="1" applyFill="1" applyBorder="1" applyAlignment="1">
      <alignment horizontal="center" vertical="top" wrapText="1"/>
    </xf>
    <xf numFmtId="0" fontId="9" fillId="14" borderId="51" xfId="0" applyFont="1" applyFill="1" applyBorder="1" applyAlignment="1">
      <alignment horizontal="center" vertical="top" wrapText="1"/>
    </xf>
    <xf numFmtId="0" fontId="9" fillId="14" borderId="70" xfId="0" applyFont="1" applyFill="1" applyBorder="1" applyAlignment="1">
      <alignment horizontal="center" vertical="top" wrapText="1"/>
    </xf>
    <xf numFmtId="0" fontId="13" fillId="14" borderId="49" xfId="0" applyFont="1" applyFill="1" applyBorder="1" applyAlignment="1">
      <alignment horizontal="center" vertical="top" wrapText="1"/>
    </xf>
    <xf numFmtId="0" fontId="13" fillId="14" borderId="51" xfId="0" applyFont="1" applyFill="1" applyBorder="1" applyAlignment="1">
      <alignment horizontal="center" vertical="top" wrapText="1"/>
    </xf>
    <xf numFmtId="3" fontId="11" fillId="4" borderId="43" xfId="1" applyNumberFormat="1" applyFont="1" applyFill="1" applyBorder="1" applyAlignment="1" applyProtection="1">
      <alignment horizontal="left" vertical="center" wrapText="1"/>
      <protection locked="0"/>
    </xf>
    <xf numFmtId="3" fontId="11" fillId="4" borderId="42" xfId="1" applyNumberFormat="1" applyFont="1" applyFill="1" applyBorder="1" applyAlignment="1" applyProtection="1">
      <alignment horizontal="left" vertical="center" wrapText="1"/>
      <protection locked="0"/>
    </xf>
    <xf numFmtId="3" fontId="11" fillId="4" borderId="3" xfId="1" applyNumberFormat="1" applyFont="1" applyFill="1" applyBorder="1" applyAlignment="1" applyProtection="1">
      <alignment horizontal="left" vertical="center" wrapText="1"/>
      <protection locked="0"/>
    </xf>
    <xf numFmtId="0" fontId="0" fillId="0" borderId="63" xfId="0" applyBorder="1" applyAlignment="1">
      <alignment horizontal="left" vertical="center" wrapText="1"/>
    </xf>
    <xf numFmtId="0" fontId="11" fillId="4" borderId="5" xfId="1" applyNumberFormat="1" applyFont="1" applyFill="1" applyBorder="1" applyAlignment="1" applyProtection="1">
      <alignment horizontal="center" vertical="top" wrapText="1"/>
      <protection locked="0"/>
    </xf>
    <xf numFmtId="0" fontId="11" fillId="4" borderId="6" xfId="1" applyNumberFormat="1" applyFont="1" applyFill="1" applyBorder="1" applyAlignment="1" applyProtection="1">
      <alignment horizontal="center" vertical="top" wrapText="1"/>
      <protection locked="0"/>
    </xf>
    <xf numFmtId="3" fontId="11" fillId="4" borderId="9" xfId="1" applyNumberFormat="1" applyFont="1" applyFill="1" applyBorder="1" applyAlignment="1" applyProtection="1">
      <alignment horizontal="center" vertical="top" wrapText="1"/>
      <protection locked="0"/>
    </xf>
    <xf numFmtId="3" fontId="11" fillId="4" borderId="6" xfId="1" applyNumberFormat="1" applyFont="1" applyFill="1" applyBorder="1" applyAlignment="1" applyProtection="1">
      <alignment horizontal="center" vertical="top" wrapText="1"/>
      <protection locked="0"/>
    </xf>
    <xf numFmtId="0" fontId="36" fillId="7" borderId="1" xfId="0" applyFont="1" applyFill="1" applyBorder="1" applyAlignment="1">
      <alignment horizontal="center" vertical="center" wrapText="1"/>
    </xf>
    <xf numFmtId="0" fontId="36" fillId="7" borderId="2"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7" borderId="3"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7" borderId="8" xfId="0" applyFont="1" applyFill="1" applyBorder="1" applyAlignment="1">
      <alignment horizontal="center" vertical="center" wrapText="1"/>
    </xf>
    <xf numFmtId="3" fontId="11" fillId="4" borderId="5" xfId="1" applyNumberFormat="1" applyFont="1" applyFill="1" applyBorder="1" applyAlignment="1" applyProtection="1">
      <alignment horizontal="center" vertical="top" wrapText="1"/>
      <protection locked="0"/>
    </xf>
    <xf numFmtId="0" fontId="36" fillId="7" borderId="88" xfId="0" applyFont="1" applyFill="1" applyBorder="1" applyAlignment="1">
      <alignment horizontal="center" vertical="center" wrapText="1"/>
    </xf>
    <xf numFmtId="0" fontId="36" fillId="7" borderId="43" xfId="0" applyFont="1" applyFill="1" applyBorder="1" applyAlignment="1">
      <alignment horizontal="center" vertical="center" wrapText="1"/>
    </xf>
    <xf numFmtId="0" fontId="36" fillId="7" borderId="82" xfId="0" applyFont="1" applyFill="1" applyBorder="1" applyAlignment="1">
      <alignment horizontal="center" vertical="center" wrapText="1"/>
    </xf>
    <xf numFmtId="0" fontId="36" fillId="7" borderId="37" xfId="0" applyFont="1" applyFill="1" applyBorder="1" applyAlignment="1">
      <alignment horizontal="center" vertical="center" wrapText="1"/>
    </xf>
    <xf numFmtId="0" fontId="36" fillId="7" borderId="38" xfId="0" applyFont="1" applyFill="1" applyBorder="1" applyAlignment="1">
      <alignment horizontal="center" vertical="center" wrapText="1"/>
    </xf>
    <xf numFmtId="0" fontId="36" fillId="7" borderId="42" xfId="0" applyFont="1" applyFill="1" applyBorder="1" applyAlignment="1">
      <alignment horizontal="center" vertical="center" wrapText="1"/>
    </xf>
    <xf numFmtId="0" fontId="36" fillId="7" borderId="87" xfId="0" applyFont="1" applyFill="1" applyBorder="1" applyAlignment="1">
      <alignment horizontal="center" vertical="center" wrapText="1"/>
    </xf>
    <xf numFmtId="0" fontId="36" fillId="7" borderId="86" xfId="0" applyFont="1" applyFill="1" applyBorder="1" applyAlignment="1">
      <alignment horizontal="center" vertical="center" wrapText="1"/>
    </xf>
    <xf numFmtId="0" fontId="36" fillId="7" borderId="83" xfId="0" applyFont="1" applyFill="1" applyBorder="1" applyAlignment="1">
      <alignment horizontal="center" vertical="center" wrapText="1"/>
    </xf>
    <xf numFmtId="0" fontId="7" fillId="4" borderId="5" xfId="0" applyFont="1" applyFill="1" applyBorder="1" applyAlignment="1" applyProtection="1">
      <alignment horizontal="center" vertical="top"/>
      <protection locked="0"/>
    </xf>
    <xf numFmtId="0" fontId="7" fillId="4" borderId="9" xfId="0" applyFont="1" applyFill="1" applyBorder="1" applyAlignment="1" applyProtection="1">
      <alignment horizontal="center" vertical="top"/>
      <protection locked="0"/>
    </xf>
    <xf numFmtId="0" fontId="7" fillId="4" borderId="6" xfId="0" applyFont="1" applyFill="1" applyBorder="1" applyAlignment="1" applyProtection="1">
      <alignment horizontal="center" vertical="top"/>
      <protection locked="0"/>
    </xf>
    <xf numFmtId="0" fontId="10" fillId="18" borderId="5" xfId="1" applyNumberFormat="1" applyFont="1" applyFill="1" applyBorder="1" applyAlignment="1" applyProtection="1">
      <alignment horizontal="center" vertical="top" wrapText="1"/>
      <protection locked="0"/>
    </xf>
    <xf numFmtId="0" fontId="10" fillId="18" borderId="9" xfId="1" applyNumberFormat="1" applyFont="1" applyFill="1" applyBorder="1" applyAlignment="1" applyProtection="1">
      <alignment horizontal="center" vertical="top" wrapText="1"/>
      <protection locked="0"/>
    </xf>
    <xf numFmtId="0" fontId="10" fillId="18" borderId="6" xfId="1" applyNumberFormat="1" applyFont="1" applyFill="1" applyBorder="1" applyAlignment="1" applyProtection="1">
      <alignment horizontal="center" vertical="top" wrapText="1"/>
      <protection locked="0"/>
    </xf>
    <xf numFmtId="0" fontId="36" fillId="7" borderId="39" xfId="0" applyFont="1" applyFill="1" applyBorder="1" applyAlignment="1">
      <alignment horizontal="center" vertical="center" wrapText="1"/>
    </xf>
    <xf numFmtId="0" fontId="36" fillId="7" borderId="41" xfId="0" applyFont="1" applyFill="1" applyBorder="1" applyAlignment="1">
      <alignment horizontal="center" vertical="center" wrapText="1"/>
    </xf>
    <xf numFmtId="0" fontId="11" fillId="5" borderId="52" xfId="1" applyNumberFormat="1" applyFont="1" applyFill="1" applyBorder="1" applyAlignment="1" applyProtection="1">
      <alignment horizontal="left" vertical="center" wrapText="1"/>
    </xf>
    <xf numFmtId="0" fontId="11" fillId="5" borderId="57" xfId="1" applyNumberFormat="1" applyFont="1" applyFill="1" applyBorder="1" applyAlignment="1" applyProtection="1">
      <alignment horizontal="left" vertical="center" wrapText="1"/>
    </xf>
    <xf numFmtId="0" fontId="9" fillId="14" borderId="52"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6" xfId="0" applyFont="1" applyFill="1" applyBorder="1" applyAlignment="1">
      <alignment horizontal="center" vertical="top" wrapText="1"/>
    </xf>
    <xf numFmtId="0" fontId="13" fillId="7" borderId="63" xfId="0" applyFont="1" applyFill="1" applyBorder="1" applyAlignment="1">
      <alignment horizontal="center" vertical="center" wrapText="1"/>
    </xf>
    <xf numFmtId="0" fontId="13" fillId="7" borderId="54"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11" fillId="5" borderId="53" xfId="1" applyNumberFormat="1" applyFont="1" applyFill="1" applyBorder="1" applyAlignment="1" applyProtection="1">
      <alignment horizontal="left" vertical="center" wrapText="1"/>
    </xf>
    <xf numFmtId="0" fontId="11" fillId="5" borderId="59" xfId="1" applyNumberFormat="1" applyFont="1" applyFill="1" applyBorder="1" applyAlignment="1" applyProtection="1">
      <alignment horizontal="left" vertical="center" wrapText="1"/>
    </xf>
    <xf numFmtId="0" fontId="11" fillId="5" borderId="54" xfId="1" applyNumberFormat="1" applyFont="1" applyFill="1" applyBorder="1" applyAlignment="1" applyProtection="1">
      <alignment horizontal="left" vertical="center" wrapText="1"/>
    </xf>
    <xf numFmtId="0" fontId="11" fillId="5" borderId="64" xfId="1" applyNumberFormat="1" applyFont="1" applyFill="1" applyBorder="1" applyAlignment="1" applyProtection="1">
      <alignment horizontal="left" vertical="center" wrapText="1"/>
    </xf>
    <xf numFmtId="0" fontId="21" fillId="17" borderId="13" xfId="0" applyFont="1" applyFill="1" applyBorder="1" applyAlignment="1">
      <alignment horizontal="center"/>
    </xf>
    <xf numFmtId="0" fontId="21" fillId="17" borderId="0" xfId="0" applyFont="1" applyFill="1" applyAlignment="1">
      <alignment horizontal="center"/>
    </xf>
    <xf numFmtId="0" fontId="21" fillId="8" borderId="16" xfId="0" applyFont="1" applyFill="1" applyBorder="1" applyAlignment="1">
      <alignment horizontal="center"/>
    </xf>
    <xf numFmtId="0" fontId="48" fillId="0" borderId="13" xfId="0" applyFont="1" applyBorder="1" applyAlignment="1">
      <alignment horizontal="center"/>
    </xf>
    <xf numFmtId="0" fontId="21" fillId="17" borderId="0" xfId="0" applyFont="1" applyFill="1" applyAlignment="1">
      <alignment horizontal="center" vertical="center"/>
    </xf>
    <xf numFmtId="0" fontId="21" fillId="17" borderId="14" xfId="0" applyFont="1" applyFill="1" applyBorder="1" applyAlignment="1">
      <alignment horizontal="center"/>
    </xf>
    <xf numFmtId="0" fontId="21" fillId="17" borderId="15" xfId="0" applyFont="1" applyFill="1" applyBorder="1" applyAlignment="1">
      <alignment horizontal="center"/>
    </xf>
    <xf numFmtId="0" fontId="21" fillId="8" borderId="0" xfId="0" applyFont="1" applyFill="1" applyAlignment="1">
      <alignment horizontal="center" vertical="center"/>
    </xf>
    <xf numFmtId="0" fontId="51" fillId="0" borderId="12" xfId="0" applyFont="1" applyBorder="1" applyAlignment="1">
      <alignment horizontal="center"/>
    </xf>
    <xf numFmtId="0" fontId="51" fillId="0" borderId="13" xfId="0" applyFont="1" applyBorder="1" applyAlignment="1">
      <alignment horizontal="center"/>
    </xf>
    <xf numFmtId="0" fontId="21" fillId="17" borderId="97" xfId="0" applyFont="1" applyFill="1" applyBorder="1" applyAlignment="1">
      <alignment horizontal="center"/>
    </xf>
    <xf numFmtId="0" fontId="21" fillId="17" borderId="96" xfId="0" applyFont="1" applyFill="1" applyBorder="1" applyAlignment="1">
      <alignment horizontal="center"/>
    </xf>
    <xf numFmtId="0" fontId="21" fillId="17" borderId="98" xfId="0" applyFont="1" applyFill="1" applyBorder="1" applyAlignment="1">
      <alignment horizontal="center"/>
    </xf>
    <xf numFmtId="0" fontId="51" fillId="0" borderId="0" xfId="0" applyFont="1" applyAlignment="1">
      <alignment horizontal="center"/>
    </xf>
    <xf numFmtId="0" fontId="21" fillId="17" borderId="12" xfId="0" applyFont="1" applyFill="1" applyBorder="1" applyAlignment="1">
      <alignment horizontal="center"/>
    </xf>
    <xf numFmtId="0" fontId="21" fillId="8" borderId="13" xfId="0" applyFont="1" applyFill="1" applyBorder="1" applyAlignment="1">
      <alignment horizontal="center"/>
    </xf>
    <xf numFmtId="0" fontId="21" fillId="8" borderId="89" xfId="0" applyFont="1" applyFill="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2">
    <cellStyle name="Comma" xfId="6" builtinId="3"/>
    <cellStyle name="Comma 10 3" xfId="5" xr:uid="{1C1C1E5E-DA75-4111-AA7F-2BDC6B541EAC}"/>
    <cellStyle name="Comma 15 10" xfId="1" xr:uid="{5C0DDD7C-55E9-417D-A5C9-37D88B66CDE7}"/>
    <cellStyle name="Comma 2 12" xfId="10" xr:uid="{24A08DC7-AED6-4962-B6B0-B5D0ACC75B61}"/>
    <cellStyle name="Comma 27" xfId="11" xr:uid="{DAF83A88-2ADD-4146-9599-F557472C897D}"/>
    <cellStyle name="Comma 30" xfId="4" xr:uid="{E12EA4D7-D871-4179-ACCC-48CBA8F13510}"/>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35">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9"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F2DCDB"/>
      <color rgb="FF963634"/>
      <color rgb="FFE6B8B7"/>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355600</xdr:colOff>
      <xdr:row>0</xdr:row>
      <xdr:rowOff>0</xdr:rowOff>
    </xdr:from>
    <xdr:to>
      <xdr:col>12</xdr:col>
      <xdr:colOff>0</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620250" y="0"/>
          <a:ext cx="16510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owell, Mark" id="{5D765E81-2B50-48E7-B80F-00DC8E6BC7E7}" userId="S::mark.howell@tribunal.gc.ca::2a99c2a9-80b4-4a9a-b519-3fa9df706e3b"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6-07-02T12:18:07.19" personId="{5D765E81-2B50-48E7-B80F-00DC8E6BC7E7}" id="{C2DFEFF6-3FAF-435F-A853-6FAB42FA190F}">
    <text>Edit size of boxes to allow room to reply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N67"/>
  <sheetViews>
    <sheetView showGridLines="0" workbookViewId="0">
      <selection activeCell="B11" sqref="B11:C11"/>
    </sheetView>
  </sheetViews>
  <sheetFormatPr defaultColWidth="9.140625" defaultRowHeight="14.25" x14ac:dyDescent="0.25"/>
  <cols>
    <col min="1" max="1" width="24.42578125" style="165" bestFit="1" customWidth="1"/>
    <col min="2" max="2" width="23.85546875" style="152" customWidth="1"/>
    <col min="3" max="3" width="26" style="152" customWidth="1"/>
    <col min="4" max="4" width="12.42578125" style="152" bestFit="1" customWidth="1"/>
    <col min="5" max="5" width="9.140625" style="152"/>
    <col min="6" max="6" width="9.140625" style="152" customWidth="1"/>
    <col min="7" max="16384" width="9.140625" style="152"/>
  </cols>
  <sheetData>
    <row r="1" spans="1:11" s="196" customFormat="1" x14ac:dyDescent="0.25">
      <c r="A1" s="196" t="s">
        <v>172</v>
      </c>
      <c r="B1" s="196" t="s">
        <v>166</v>
      </c>
      <c r="C1" s="196" t="s">
        <v>173</v>
      </c>
      <c r="F1" s="196" t="s">
        <v>332</v>
      </c>
    </row>
    <row r="2" spans="1:11" x14ac:dyDescent="0.25">
      <c r="A2" s="165" t="s">
        <v>174</v>
      </c>
      <c r="B2" s="230" t="s">
        <v>1062</v>
      </c>
      <c r="C2" s="230" t="str">
        <f>B2</f>
        <v>NQ-2026-005</v>
      </c>
      <c r="F2" s="152" t="s">
        <v>433</v>
      </c>
    </row>
    <row r="3" spans="1:11" x14ac:dyDescent="0.25">
      <c r="A3" s="165" t="s">
        <v>175</v>
      </c>
      <c r="B3" s="2" t="s">
        <v>865</v>
      </c>
      <c r="C3" s="2" t="s">
        <v>866</v>
      </c>
      <c r="F3" s="152" t="s">
        <v>565</v>
      </c>
    </row>
    <row r="4" spans="1:11" x14ac:dyDescent="0.25">
      <c r="A4" s="165" t="s">
        <v>359</v>
      </c>
      <c r="B4" s="152" t="s">
        <v>859</v>
      </c>
      <c r="C4" s="152" t="s">
        <v>860</v>
      </c>
      <c r="F4" s="152" t="s">
        <v>566</v>
      </c>
    </row>
    <row r="5" spans="1:11" ht="28.5" x14ac:dyDescent="0.25">
      <c r="A5" s="193" t="s">
        <v>608</v>
      </c>
      <c r="B5" s="152" t="s">
        <v>867</v>
      </c>
      <c r="C5" s="152" t="s">
        <v>880</v>
      </c>
      <c r="D5" s="152" t="s">
        <v>696</v>
      </c>
    </row>
    <row r="6" spans="1:11" x14ac:dyDescent="0.25">
      <c r="A6" s="166" t="s">
        <v>572</v>
      </c>
      <c r="B6" s="296">
        <v>2023</v>
      </c>
      <c r="C6" s="296">
        <f>B6</f>
        <v>2023</v>
      </c>
      <c r="F6" s="195" t="s">
        <v>625</v>
      </c>
    </row>
    <row r="7" spans="1:11" x14ac:dyDescent="0.25">
      <c r="A7" s="166" t="s">
        <v>573</v>
      </c>
      <c r="B7" s="297" t="s">
        <v>868</v>
      </c>
      <c r="C7" s="295" t="s">
        <v>869</v>
      </c>
      <c r="F7" s="152" t="s">
        <v>725</v>
      </c>
    </row>
    <row r="8" spans="1:11" x14ac:dyDescent="0.25">
      <c r="A8" s="166" t="s">
        <v>574</v>
      </c>
      <c r="B8" s="296">
        <f>YEAR(B11)</f>
        <v>2026</v>
      </c>
      <c r="C8" s="296">
        <f>B8</f>
        <v>2026</v>
      </c>
      <c r="F8" s="152" t="s">
        <v>726</v>
      </c>
    </row>
    <row r="9" spans="1:11" x14ac:dyDescent="0.25">
      <c r="A9" s="165" t="s">
        <v>567</v>
      </c>
      <c r="B9" s="2" t="s">
        <v>861</v>
      </c>
      <c r="C9" s="2" t="s">
        <v>870</v>
      </c>
      <c r="F9" s="167" t="s">
        <v>626</v>
      </c>
    </row>
    <row r="10" spans="1:11" x14ac:dyDescent="0.25">
      <c r="A10" s="165" t="s">
        <v>568</v>
      </c>
      <c r="B10" s="2" t="s">
        <v>862</v>
      </c>
      <c r="C10" s="2" t="s">
        <v>871</v>
      </c>
    </row>
    <row r="11" spans="1:11" x14ac:dyDescent="0.25">
      <c r="A11" s="165" t="s">
        <v>317</v>
      </c>
      <c r="B11" s="295" t="s">
        <v>1072</v>
      </c>
      <c r="C11" s="295" t="s">
        <v>1073</v>
      </c>
      <c r="I11" s="152" t="s">
        <v>821</v>
      </c>
      <c r="J11" s="152" t="s">
        <v>822</v>
      </c>
      <c r="K11" s="152" t="s">
        <v>823</v>
      </c>
    </row>
    <row r="12" spans="1:11" x14ac:dyDescent="0.25">
      <c r="I12" s="152" t="s">
        <v>809</v>
      </c>
      <c r="J12" s="152" t="s">
        <v>817</v>
      </c>
      <c r="K12" s="298" t="s">
        <v>817</v>
      </c>
    </row>
    <row r="13" spans="1:11" x14ac:dyDescent="0.25">
      <c r="A13" s="165" t="s">
        <v>610</v>
      </c>
      <c r="B13" s="152" t="s">
        <v>1063</v>
      </c>
      <c r="C13" s="152" t="s">
        <v>1064</v>
      </c>
      <c r="D13" s="152" t="s">
        <v>1065</v>
      </c>
      <c r="I13" s="152" t="s">
        <v>810</v>
      </c>
      <c r="J13" s="152" t="s">
        <v>818</v>
      </c>
      <c r="K13" s="152" t="s">
        <v>817</v>
      </c>
    </row>
    <row r="14" spans="1:11" x14ac:dyDescent="0.25">
      <c r="A14" s="165" t="s">
        <v>611</v>
      </c>
      <c r="B14" s="152" t="s">
        <v>1066</v>
      </c>
      <c r="C14" s="152" t="s">
        <v>1067</v>
      </c>
      <c r="D14" s="152" t="s">
        <v>1068</v>
      </c>
      <c r="I14" s="152" t="s">
        <v>811</v>
      </c>
      <c r="J14" s="152" t="s">
        <v>819</v>
      </c>
      <c r="K14" s="152" t="s">
        <v>817</v>
      </c>
    </row>
    <row r="15" spans="1:11" x14ac:dyDescent="0.25">
      <c r="B15" s="152" t="s">
        <v>1069</v>
      </c>
      <c r="C15" s="152" t="s">
        <v>1070</v>
      </c>
      <c r="D15" s="152" t="s">
        <v>1071</v>
      </c>
      <c r="I15" s="152" t="s">
        <v>812</v>
      </c>
      <c r="J15" s="152" t="s">
        <v>820</v>
      </c>
      <c r="K15" s="152" t="s">
        <v>820</v>
      </c>
    </row>
    <row r="16" spans="1:11" ht="409.5" x14ac:dyDescent="0.25">
      <c r="A16" s="165" t="s">
        <v>319</v>
      </c>
      <c r="B16" s="174" t="s">
        <v>863</v>
      </c>
      <c r="C16" s="174" t="s">
        <v>864</v>
      </c>
      <c r="I16" s="152" t="s">
        <v>813</v>
      </c>
      <c r="J16" s="152" t="s">
        <v>809</v>
      </c>
      <c r="K16" s="152" t="s">
        <v>820</v>
      </c>
    </row>
    <row r="17" spans="1:11" x14ac:dyDescent="0.25">
      <c r="A17" s="194" t="s">
        <v>609</v>
      </c>
      <c r="B17" s="2" t="s">
        <v>872</v>
      </c>
      <c r="C17" s="2" t="s">
        <v>873</v>
      </c>
      <c r="I17" s="152" t="s">
        <v>814</v>
      </c>
      <c r="J17" s="152" t="s">
        <v>810</v>
      </c>
      <c r="K17" s="152" t="s">
        <v>820</v>
      </c>
    </row>
    <row r="18" spans="1:11" x14ac:dyDescent="0.25">
      <c r="I18" s="152" t="s">
        <v>815</v>
      </c>
      <c r="J18" s="152" t="s">
        <v>811</v>
      </c>
      <c r="K18" s="152" t="s">
        <v>811</v>
      </c>
    </row>
    <row r="19" spans="1:11" x14ac:dyDescent="0.25">
      <c r="A19" s="165" t="s">
        <v>327</v>
      </c>
      <c r="B19" s="169" t="s">
        <v>877</v>
      </c>
      <c r="C19" s="169" t="s">
        <v>875</v>
      </c>
      <c r="I19" s="152" t="s">
        <v>816</v>
      </c>
      <c r="J19" s="152" t="s">
        <v>812</v>
      </c>
      <c r="K19" s="152" t="s">
        <v>811</v>
      </c>
    </row>
    <row r="20" spans="1:11" ht="57" x14ac:dyDescent="0.25">
      <c r="A20" s="165" t="s">
        <v>328</v>
      </c>
      <c r="B20" s="304" t="s">
        <v>874</v>
      </c>
      <c r="C20" s="305" t="str">
        <f>B20</f>
        <v>7326.90.90.90, 9403.20.00.70, 7308.90.00.60, 7308.90.00.99</v>
      </c>
      <c r="I20" s="152" t="s">
        <v>817</v>
      </c>
      <c r="J20" s="152" t="s">
        <v>813</v>
      </c>
      <c r="K20" s="152" t="s">
        <v>811</v>
      </c>
    </row>
    <row r="21" spans="1:11" ht="171" x14ac:dyDescent="0.25">
      <c r="A21" s="165" t="s">
        <v>329</v>
      </c>
      <c r="B21" s="304" t="s">
        <v>876</v>
      </c>
      <c r="C21" s="305" t="str">
        <f>B21</f>
        <v xml:space="preserve">7308.90.00.60, 7308.90.00.61, 7308.90.00.62, 7308.90.00.63, 7308.90.00.64, 7308.90.00.68, 7308.90.00.69, 7308.90.00.70, 7308.90.00.99, 7326.90.90.90, 9403.20.00.70
</v>
      </c>
      <c r="I21" s="152" t="s">
        <v>818</v>
      </c>
      <c r="J21" s="152" t="s">
        <v>814</v>
      </c>
      <c r="K21" s="152" t="s">
        <v>814</v>
      </c>
    </row>
    <row r="22" spans="1:11" x14ac:dyDescent="0.25">
      <c r="I22" s="152" t="s">
        <v>819</v>
      </c>
      <c r="J22" s="152" t="s">
        <v>815</v>
      </c>
      <c r="K22" s="152" t="s">
        <v>814</v>
      </c>
    </row>
    <row r="23" spans="1:11" x14ac:dyDescent="0.25">
      <c r="A23" s="165" t="s">
        <v>612</v>
      </c>
      <c r="B23" s="2" t="s">
        <v>613</v>
      </c>
      <c r="C23" s="2" t="s">
        <v>613</v>
      </c>
      <c r="I23" s="152" t="s">
        <v>820</v>
      </c>
      <c r="J23" s="152" t="s">
        <v>816</v>
      </c>
      <c r="K23" s="152" t="s">
        <v>814</v>
      </c>
    </row>
    <row r="24" spans="1:11" x14ac:dyDescent="0.25">
      <c r="A24" s="165" t="s">
        <v>614</v>
      </c>
      <c r="B24" s="2" t="s">
        <v>615</v>
      </c>
      <c r="C24" s="2" t="s">
        <v>615</v>
      </c>
    </row>
    <row r="26" spans="1:11" x14ac:dyDescent="0.25">
      <c r="A26" s="165" t="s">
        <v>195</v>
      </c>
      <c r="B26" s="2" t="s">
        <v>914</v>
      </c>
      <c r="C26" s="2" t="s">
        <v>915</v>
      </c>
    </row>
    <row r="27" spans="1:11" x14ac:dyDescent="0.25">
      <c r="A27" s="165" t="s">
        <v>571</v>
      </c>
      <c r="B27" s="2" t="s">
        <v>616</v>
      </c>
      <c r="C27" s="2" t="s">
        <v>706</v>
      </c>
    </row>
    <row r="29" spans="1:11" x14ac:dyDescent="0.25">
      <c r="A29" s="165" t="s">
        <v>617</v>
      </c>
      <c r="B29" s="2" t="s">
        <v>881</v>
      </c>
      <c r="C29" s="2" t="s">
        <v>884</v>
      </c>
    </row>
    <row r="30" spans="1:11" ht="15" customHeight="1" x14ac:dyDescent="0.25">
      <c r="A30" s="165" t="s">
        <v>618</v>
      </c>
      <c r="B30" s="2" t="s">
        <v>882</v>
      </c>
      <c r="C30" s="2" t="s">
        <v>885</v>
      </c>
    </row>
    <row r="31" spans="1:11" ht="15" customHeight="1" x14ac:dyDescent="0.25">
      <c r="A31" s="165" t="s">
        <v>619</v>
      </c>
      <c r="B31" s="2" t="s">
        <v>883</v>
      </c>
      <c r="C31" s="2" t="s">
        <v>886</v>
      </c>
    </row>
    <row r="32" spans="1:11" ht="15" customHeight="1" x14ac:dyDescent="0.25">
      <c r="A32" s="165" t="s">
        <v>620</v>
      </c>
      <c r="B32" s="2" t="s">
        <v>575</v>
      </c>
      <c r="C32" s="2" t="s">
        <v>575</v>
      </c>
    </row>
    <row r="33" spans="1:14" ht="15" customHeight="1" x14ac:dyDescent="0.25">
      <c r="A33" s="165" t="s">
        <v>621</v>
      </c>
      <c r="B33" s="2" t="s">
        <v>576</v>
      </c>
      <c r="C33" s="2" t="s">
        <v>576</v>
      </c>
    </row>
    <row r="34" spans="1:14" ht="15" customHeight="1" x14ac:dyDescent="0.25">
      <c r="A34" s="165" t="s">
        <v>622</v>
      </c>
      <c r="B34" s="2" t="s">
        <v>577</v>
      </c>
      <c r="C34" s="2" t="s">
        <v>577</v>
      </c>
    </row>
    <row r="35" spans="1:14" ht="15" customHeight="1" x14ac:dyDescent="0.25">
      <c r="A35" s="165" t="s">
        <v>623</v>
      </c>
      <c r="B35" s="2" t="s">
        <v>578</v>
      </c>
      <c r="C35" s="2" t="s">
        <v>578</v>
      </c>
    </row>
    <row r="36" spans="1:14" ht="15" customHeight="1" x14ac:dyDescent="0.25">
      <c r="A36" s="165" t="s">
        <v>624</v>
      </c>
      <c r="B36" s="2" t="s">
        <v>579</v>
      </c>
      <c r="C36" s="2" t="s">
        <v>579</v>
      </c>
    </row>
    <row r="37" spans="1:14" ht="15" customHeight="1" x14ac:dyDescent="0.25">
      <c r="B37" s="2"/>
      <c r="C37" s="2"/>
    </row>
    <row r="38" spans="1:14" x14ac:dyDescent="0.25">
      <c r="A38" s="166" t="s">
        <v>797</v>
      </c>
      <c r="B38" s="167">
        <v>1</v>
      </c>
      <c r="C38" s="167">
        <f>B38</f>
        <v>1</v>
      </c>
    </row>
    <row r="39" spans="1:14" ht="15" customHeight="1" x14ac:dyDescent="0.25">
      <c r="A39" s="165" t="s">
        <v>789</v>
      </c>
      <c r="B39" s="2" t="str">
        <f t="shared" ref="B39:B44" si="0">IF(MID(B40,2,1)&lt;&gt;"1","Q"&amp;MID(B40,2,1)-1&amp;" - "&amp;MID(B40,6,4),"Q4 - "&amp;MID(B40,6,4)-1)</f>
        <v>Q2 - 2024</v>
      </c>
      <c r="C39" s="2" t="str">
        <f t="shared" ref="C39:C44" si="1">IF(MID(C40,2,1)&lt;&gt;"1","T"&amp;MID(C40,2,1)-1&amp;" - "&amp;MID(C40,6,4),"T4 - "&amp;MID(C40,6,4)-1)</f>
        <v>T2 - 2024</v>
      </c>
    </row>
    <row r="40" spans="1:14" ht="15" customHeight="1" x14ac:dyDescent="0.25">
      <c r="A40" s="165" t="s">
        <v>790</v>
      </c>
      <c r="B40" s="2" t="str">
        <f t="shared" si="0"/>
        <v>Q3 - 2024</v>
      </c>
      <c r="C40" s="2" t="str">
        <f t="shared" si="1"/>
        <v>T3 - 2024</v>
      </c>
      <c r="F40" s="192">
        <v>1</v>
      </c>
      <c r="G40" s="192">
        <v>2</v>
      </c>
      <c r="H40" s="192">
        <v>3</v>
      </c>
      <c r="I40" s="192">
        <v>4</v>
      </c>
      <c r="J40" s="192">
        <v>5</v>
      </c>
      <c r="K40" s="192">
        <v>6</v>
      </c>
      <c r="L40" s="192">
        <v>7</v>
      </c>
      <c r="M40" s="192">
        <v>8</v>
      </c>
    </row>
    <row r="41" spans="1:14" ht="15" customHeight="1" x14ac:dyDescent="0.25">
      <c r="A41" s="165" t="s">
        <v>791</v>
      </c>
      <c r="B41" s="2" t="str">
        <f t="shared" si="0"/>
        <v>Q4 - 2024</v>
      </c>
      <c r="C41" s="2" t="str">
        <f t="shared" si="1"/>
        <v>T4 - 2024</v>
      </c>
      <c r="F41" s="292" t="s">
        <v>802</v>
      </c>
      <c r="G41" s="292" t="s">
        <v>803</v>
      </c>
      <c r="H41" s="292" t="s">
        <v>804</v>
      </c>
      <c r="I41" s="294" t="s">
        <v>801</v>
      </c>
      <c r="J41" s="294" t="s">
        <v>802</v>
      </c>
      <c r="K41" s="294" t="s">
        <v>803</v>
      </c>
      <c r="L41" s="294" t="s">
        <v>804</v>
      </c>
      <c r="M41" s="294" t="s">
        <v>801</v>
      </c>
      <c r="N41" s="152" t="s">
        <v>805</v>
      </c>
    </row>
    <row r="42" spans="1:14" ht="15" customHeight="1" x14ac:dyDescent="0.25">
      <c r="A42" s="165" t="s">
        <v>792</v>
      </c>
      <c r="B42" s="2" t="str">
        <f t="shared" si="0"/>
        <v>Q1 - 2025</v>
      </c>
      <c r="C42" s="2" t="str">
        <f t="shared" si="1"/>
        <v>T1 - 2025</v>
      </c>
      <c r="F42" s="292" t="s">
        <v>803</v>
      </c>
      <c r="G42" s="292" t="s">
        <v>804</v>
      </c>
      <c r="H42" s="294" t="s">
        <v>801</v>
      </c>
      <c r="I42" s="294" t="s">
        <v>802</v>
      </c>
      <c r="J42" s="294" t="s">
        <v>803</v>
      </c>
      <c r="K42" s="294" t="s">
        <v>804</v>
      </c>
      <c r="L42" s="293" t="s">
        <v>801</v>
      </c>
      <c r="M42" s="293" t="s">
        <v>802</v>
      </c>
      <c r="N42" s="152" t="s">
        <v>806</v>
      </c>
    </row>
    <row r="43" spans="1:14" ht="15" customHeight="1" x14ac:dyDescent="0.25">
      <c r="A43" s="165" t="s">
        <v>793</v>
      </c>
      <c r="B43" s="2" t="str">
        <f t="shared" si="0"/>
        <v>Q2 - 2025</v>
      </c>
      <c r="C43" s="2" t="str">
        <f t="shared" si="1"/>
        <v>T2 - 2025</v>
      </c>
      <c r="F43" s="292" t="s">
        <v>804</v>
      </c>
      <c r="G43" s="294" t="s">
        <v>801</v>
      </c>
      <c r="H43" s="294" t="s">
        <v>802</v>
      </c>
      <c r="I43" s="294" t="s">
        <v>803</v>
      </c>
      <c r="J43" s="294" t="s">
        <v>804</v>
      </c>
      <c r="K43" s="293" t="s">
        <v>801</v>
      </c>
      <c r="L43" s="293" t="s">
        <v>802</v>
      </c>
      <c r="M43" s="293" t="s">
        <v>803</v>
      </c>
      <c r="N43" s="152" t="s">
        <v>807</v>
      </c>
    </row>
    <row r="44" spans="1:14" ht="15" customHeight="1" x14ac:dyDescent="0.25">
      <c r="A44" s="165" t="s">
        <v>794</v>
      </c>
      <c r="B44" s="2" t="str">
        <f t="shared" si="0"/>
        <v>Q3 - 2025</v>
      </c>
      <c r="C44" s="2" t="str">
        <f t="shared" si="1"/>
        <v>T3 - 2025</v>
      </c>
      <c r="F44" s="294" t="s">
        <v>801</v>
      </c>
      <c r="G44" s="294" t="s">
        <v>802</v>
      </c>
      <c r="H44" s="294" t="s">
        <v>803</v>
      </c>
      <c r="I44" s="294" t="s">
        <v>804</v>
      </c>
      <c r="J44" s="293" t="s">
        <v>801</v>
      </c>
      <c r="K44" s="293" t="s">
        <v>802</v>
      </c>
      <c r="L44" s="293" t="s">
        <v>803</v>
      </c>
      <c r="M44" s="293" t="s">
        <v>804</v>
      </c>
      <c r="N44" s="152" t="s">
        <v>808</v>
      </c>
    </row>
    <row r="45" spans="1:14" ht="15" customHeight="1" x14ac:dyDescent="0.25">
      <c r="A45" s="165" t="s">
        <v>795</v>
      </c>
      <c r="B45" s="2" t="str">
        <f>IF(MID(B46,2,1)&lt;&gt;"1","Q"&amp;MID(B46,2,1)-1&amp;" - "&amp;MID(B46,6,4),"Q4 - "&amp;MID(B46,6,4)-1)</f>
        <v>Q4 - 2025</v>
      </c>
      <c r="C45" s="2" t="str">
        <f>IF(MID(C46,2,1)&lt;&gt;"1","T"&amp;MID(C46,2,1)-1&amp;" - "&amp;MID(C46,6,4),"T4 - "&amp;MID(C46,6,4)-1)</f>
        <v>T4 - 2025</v>
      </c>
    </row>
    <row r="46" spans="1:14" ht="15" customHeight="1" x14ac:dyDescent="0.25">
      <c r="A46" s="165" t="s">
        <v>796</v>
      </c>
      <c r="B46" s="2" t="str">
        <f>"Q"&amp;B38&amp;" - "&amp;B8</f>
        <v>Q1 - 2026</v>
      </c>
      <c r="C46" s="2" t="str">
        <f>"T"&amp;C38&amp;" - "&amp;C8</f>
        <v>T1 - 2026</v>
      </c>
    </row>
    <row r="47" spans="1:14" ht="15" customHeight="1" x14ac:dyDescent="0.25">
      <c r="B47" s="2"/>
      <c r="C47" s="2"/>
    </row>
    <row r="48" spans="1:14" ht="15" customHeight="1" x14ac:dyDescent="0.25">
      <c r="A48" s="165" t="s">
        <v>798</v>
      </c>
      <c r="B48" s="2" t="str">
        <f>IF(B38=1,"Q1 "&amp;B8&amp;" &lt;= Jan-Mar "&amp;B8,IF(B38=2,"Q1-Q2 "&amp;B8&amp;" &lt;= Jan-Jun "&amp;B8,IF(B38=3,"Q1-Q3 "&amp;B8&amp;" &lt;= Jan-Sept "&amp;B8,"Q1-Q3 "&amp;B8&amp;" &lt;= "&amp;B8)))</f>
        <v>Q1 2026 &lt;= Jan-Mar 2026</v>
      </c>
      <c r="C48" s="2" t="str">
        <f>IF(C38=1,"T1 "&amp;B8&amp;" &lt;= jan-mars "&amp;C8,IF(C38=2,"T1-T2 "&amp;B8&amp;" &lt;= jan-juin "&amp;B8,IF(C38=3,"T1-T3 "&amp;B8&amp;" &lt;= jan-sep "&amp;B8,"Q1-Q3 "&amp;B8&amp;" &lt;= "&amp;B8)))</f>
        <v>T1 2026 &lt;= jan-mars 2026</v>
      </c>
    </row>
    <row r="49" spans="1:4" ht="15" customHeight="1" x14ac:dyDescent="0.25">
      <c r="A49" s="165" t="s">
        <v>799</v>
      </c>
      <c r="B49" s="2" t="str">
        <f>"Q1-Q4 "&amp;B8-1&amp;" &lt;= "&amp;B8-1</f>
        <v>Q1-Q4 2025 &lt;= 2025</v>
      </c>
      <c r="C49" s="2" t="str">
        <f>"T1-T4 "&amp;B8-1&amp;" &lt;= "&amp;B8-1</f>
        <v>T1-T4 2025 &lt;= 2025</v>
      </c>
    </row>
    <row r="50" spans="1:4" ht="15" customHeight="1" x14ac:dyDescent="0.25">
      <c r="A50" s="165" t="s">
        <v>800</v>
      </c>
      <c r="B50" s="2" t="str">
        <f>IF(B38=1,"Q2-Q4 "&amp;B8-2&amp;" &lt;= "&amp;B8-2,IF(B38=2,"Q3-Q4 "&amp;B8-2&amp;" &lt;= "&amp;B8-2,IF(B38=3,"Q4 "&amp;B8-2&amp;" &lt;= "&amp;B8-2,"N/A Remove column")))</f>
        <v>Q2-Q4 2024 &lt;= 2024</v>
      </c>
      <c r="C50" s="2" t="str">
        <f>IF(B38=1,"T2-T4 "&amp;B8-2&amp;" &lt;= "&amp;B8-2,IF(B38=2,"T3-T4 "&amp;B8-2&amp;" &lt;= "&amp;B8-2,IF(B38=3,"T4 "&amp;B8-2&amp;" &lt;= "&amp;B8-2,"N/A Remove column")))</f>
        <v>T2-T4 2024 &lt;= 2024</v>
      </c>
    </row>
    <row r="51" spans="1:4" ht="15" customHeight="1" x14ac:dyDescent="0.25"/>
    <row r="52" spans="1:4" ht="15" customHeight="1" x14ac:dyDescent="0.25">
      <c r="A52" s="542" t="s">
        <v>686</v>
      </c>
      <c r="B52" s="542"/>
      <c r="C52" s="542"/>
      <c r="D52" s="542"/>
    </row>
    <row r="53" spans="1:4" ht="15" customHeight="1" x14ac:dyDescent="0.25">
      <c r="A53" s="222"/>
      <c r="B53" s="223"/>
      <c r="C53" s="223"/>
      <c r="D53" s="223"/>
    </row>
    <row r="54" spans="1:4" x14ac:dyDescent="0.25">
      <c r="A54" s="165" t="s">
        <v>690</v>
      </c>
      <c r="B54" s="152" t="s">
        <v>682</v>
      </c>
      <c r="C54" s="152" t="s">
        <v>684</v>
      </c>
      <c r="D54" s="166" t="str">
        <f>IF(Intro!G21="english",B54,C54)</f>
        <v>Oui</v>
      </c>
    </row>
    <row r="55" spans="1:4" x14ac:dyDescent="0.25">
      <c r="B55" s="152" t="s">
        <v>683</v>
      </c>
      <c r="C55" s="152" t="s">
        <v>685</v>
      </c>
      <c r="D55" s="166" t="str">
        <f>IF(Intro!G21="english",B55,C55)</f>
        <v>Non</v>
      </c>
    </row>
    <row r="57" spans="1:4" x14ac:dyDescent="0.25">
      <c r="A57" s="165" t="s">
        <v>723</v>
      </c>
      <c r="B57" s="2" t="s">
        <v>683</v>
      </c>
      <c r="C57" s="2" t="s">
        <v>685</v>
      </c>
      <c r="D57" s="166" t="str">
        <f>IF(Intro!G$21="english",B57,C57)</f>
        <v>Non</v>
      </c>
    </row>
    <row r="58" spans="1:4" x14ac:dyDescent="0.25">
      <c r="B58" s="2" t="s">
        <v>724</v>
      </c>
      <c r="C58" s="2" t="s">
        <v>848</v>
      </c>
      <c r="D58" s="166" t="str">
        <f>IF(Intro!G$21="english",B58,C58)</f>
        <v>Oui, modifiez les données ou expliquez ci-dessous.</v>
      </c>
    </row>
    <row r="60" spans="1:4" ht="14.45" customHeight="1" x14ac:dyDescent="0.25">
      <c r="A60" s="543" t="s">
        <v>771</v>
      </c>
      <c r="B60" s="543"/>
      <c r="C60" s="543"/>
      <c r="D60" s="543"/>
    </row>
    <row r="61" spans="1:4" x14ac:dyDescent="0.25">
      <c r="A61" s="166" t="s">
        <v>770</v>
      </c>
      <c r="B61" s="2" t="s">
        <v>760</v>
      </c>
      <c r="C61" s="2" t="s">
        <v>761</v>
      </c>
      <c r="D61" s="166" t="str">
        <f>IF(Intro!$G$21="English",B61,C61)</f>
        <v>Vérification - volume</v>
      </c>
    </row>
    <row r="62" spans="1:4" x14ac:dyDescent="0.25">
      <c r="A62" s="166"/>
      <c r="B62" s="2" t="s">
        <v>766</v>
      </c>
      <c r="C62" s="2" t="s">
        <v>767</v>
      </c>
      <c r="D62" s="166" t="str">
        <f>IF(Intro!$G$21="English",B62,C62)</f>
        <v>Erreur</v>
      </c>
    </row>
    <row r="63" spans="1:4" x14ac:dyDescent="0.25">
      <c r="B63" s="2" t="s">
        <v>768</v>
      </c>
      <c r="C63" s="2" t="s">
        <v>769</v>
      </c>
      <c r="D63" s="166" t="str">
        <f>IF(Intro!$G$21="English",B63,C63)</f>
        <v>Correct</v>
      </c>
    </row>
    <row r="64" spans="1:4" x14ac:dyDescent="0.25">
      <c r="B64" s="2"/>
      <c r="C64" s="2"/>
      <c r="D64" s="2"/>
    </row>
    <row r="65" spans="2:4" x14ac:dyDescent="0.25">
      <c r="B65" s="2" t="s">
        <v>762</v>
      </c>
      <c r="C65" s="2" t="s">
        <v>763</v>
      </c>
      <c r="D65" s="166" t="str">
        <f>IF(Intro!$G$21="English",B65,C65)</f>
        <v>Vérification - valeur</v>
      </c>
    </row>
    <row r="66" spans="2:4" x14ac:dyDescent="0.25">
      <c r="B66" s="2" t="s">
        <v>766</v>
      </c>
      <c r="C66" s="2" t="s">
        <v>767</v>
      </c>
      <c r="D66" s="166" t="str">
        <f>IF(Intro!$G$21="English",B66,C66)</f>
        <v>Erreur</v>
      </c>
    </row>
    <row r="67" spans="2:4" x14ac:dyDescent="0.25">
      <c r="B67" s="2" t="s">
        <v>768</v>
      </c>
      <c r="C67" s="2" t="s">
        <v>769</v>
      </c>
      <c r="D67" s="166" t="str">
        <f>IF(Intro!$G$21="English",B67,C67)</f>
        <v>Correct</v>
      </c>
    </row>
  </sheetData>
  <sheetProtection algorithmName="SHA-512" hashValue="CKiGLHv2GwT7UunpTOsPFBbSXA0dm3Fzkoh1QnxxpZfS6X0dKhS9aQh05ba17LbNq3QD89CVZLP9rVL2VprTLA==" saltValue="yxWzERpBbn49Z+rAAt15mA==" spinCount="100000" sheet="1" objects="1" scenarios="1" selectLockedCells="1"/>
  <mergeCells count="2">
    <mergeCell ref="A52:D52"/>
    <mergeCell ref="A60:D60"/>
  </mergeCells>
  <phoneticPr fontId="18" type="noConversion"/>
  <dataValidations count="2">
    <dataValidation type="list" allowBlank="1" showInputMessage="1" showErrorMessage="1" sqref="C4" xr:uid="{8E6BCFD2-2FDF-44CD-ACB5-4640EC6E9660}">
      <formula1>"le dumping, le dumping et le subventionnement"</formula1>
    </dataValidation>
    <dataValidation type="list" allowBlank="1" showInputMessage="1" showErrorMessage="1" sqref="B4" xr:uid="{141C76BF-4BEF-4D20-8A36-217B586C5448}">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S241"/>
  <sheetViews>
    <sheetView showGridLines="0" zoomScaleNormal="100" workbookViewId="0">
      <selection activeCell="D18" sqref="D18:L27"/>
    </sheetView>
  </sheetViews>
  <sheetFormatPr defaultColWidth="9.140625" defaultRowHeight="14.25" x14ac:dyDescent="0.25"/>
  <cols>
    <col min="1" max="1" width="1.85546875" style="12" customWidth="1"/>
    <col min="2" max="2" width="16.5703125" style="19" customWidth="1"/>
    <col min="3" max="12" width="14.5703125" style="19" customWidth="1"/>
    <col min="13" max="13" width="14.5703125" style="1" customWidth="1"/>
    <col min="14" max="14" width="14.5703125" style="2" customWidth="1"/>
    <col min="15" max="15" width="45.85546875" style="2" hidden="1" customWidth="1"/>
    <col min="16" max="16" width="14.5703125" style="2" hidden="1" customWidth="1"/>
    <col min="17" max="17" width="9.140625" style="2" customWidth="1"/>
    <col min="18" max="16384" width="9.140625" style="2"/>
  </cols>
  <sheetData>
    <row r="1" spans="1:16" x14ac:dyDescent="0.25">
      <c r="O1" s="2" t="s">
        <v>744</v>
      </c>
      <c r="P1" s="2" t="s">
        <v>744</v>
      </c>
    </row>
    <row r="2" spans="1:16" x14ac:dyDescent="0.25">
      <c r="B2" s="20" t="str">
        <f>'Pro 1'!B2</f>
        <v>PROTÉGÉ</v>
      </c>
      <c r="C2" s="20"/>
      <c r="O2" s="3" t="s">
        <v>166</v>
      </c>
      <c r="P2" s="3" t="s">
        <v>167</v>
      </c>
    </row>
    <row r="3" spans="1:16" x14ac:dyDescent="0.25">
      <c r="B3" s="21"/>
      <c r="C3" s="21"/>
      <c r="O3" s="8"/>
      <c r="P3" s="8"/>
    </row>
    <row r="4" spans="1:16" s="8" customFormat="1" x14ac:dyDescent="0.25">
      <c r="A4" s="13"/>
      <c r="B4" s="462" t="str">
        <f>Info!B4</f>
        <v>QUESTIONNAIRE À L’INTENTION DES PRODUCTEURS</v>
      </c>
      <c r="C4" s="463"/>
      <c r="D4" s="463"/>
      <c r="E4" s="463"/>
      <c r="F4" s="463"/>
      <c r="G4" s="463"/>
      <c r="H4" s="463"/>
      <c r="I4" s="463"/>
      <c r="J4" s="463"/>
      <c r="K4" s="463"/>
      <c r="L4" s="464"/>
      <c r="M4" s="15"/>
      <c r="N4" s="15"/>
      <c r="O4" s="14"/>
      <c r="P4" s="14"/>
    </row>
    <row r="5" spans="1:16" s="8" customFormat="1" x14ac:dyDescent="0.25">
      <c r="A5" s="13"/>
      <c r="B5" s="465" t="str">
        <f>Info!B5</f>
        <v>NQ-2026-005</v>
      </c>
      <c r="C5" s="466"/>
      <c r="D5" s="466"/>
      <c r="E5" s="466"/>
      <c r="F5" s="466"/>
      <c r="G5" s="466"/>
      <c r="H5" s="466"/>
      <c r="I5" s="466"/>
      <c r="J5" s="466"/>
      <c r="K5" s="466"/>
      <c r="L5" s="467"/>
      <c r="M5" s="15"/>
      <c r="N5" s="15"/>
      <c r="O5" s="14"/>
      <c r="P5" s="14"/>
    </row>
    <row r="6" spans="1:16" s="9" customFormat="1" x14ac:dyDescent="0.25">
      <c r="A6" s="13"/>
      <c r="B6" s="465" t="str">
        <f>Info!B6</f>
        <v>CERTAINS RAYONNAGES EN ACIER</v>
      </c>
      <c r="C6" s="466"/>
      <c r="D6" s="466"/>
      <c r="E6" s="466"/>
      <c r="F6" s="466"/>
      <c r="G6" s="466"/>
      <c r="H6" s="466"/>
      <c r="I6" s="466"/>
      <c r="J6" s="466"/>
      <c r="K6" s="466"/>
      <c r="L6" s="467"/>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7" t="str">
        <f>Public!B8</f>
        <v>Les questions suivantes font référence aux marchandises comme définies dans la description du produit de l'onglet Intro.</v>
      </c>
      <c r="C8" s="608"/>
      <c r="D8" s="608"/>
      <c r="E8" s="608"/>
      <c r="F8" s="608"/>
      <c r="G8" s="608"/>
      <c r="H8" s="608"/>
      <c r="I8" s="608"/>
      <c r="J8" s="608"/>
      <c r="K8" s="608"/>
      <c r="L8" s="609"/>
      <c r="M8" s="14"/>
      <c r="N8" s="14"/>
      <c r="O8" s="10"/>
      <c r="P8" s="10"/>
    </row>
    <row r="9" spans="1:16" s="9" customFormat="1" x14ac:dyDescent="0.25">
      <c r="A9" s="13"/>
      <c r="B9" s="607" t="str">
        <f>Public!B9</f>
        <v>Des informations sur le produit et un glossaire de termes sont disponibles dans l'onglet Info.</v>
      </c>
      <c r="C9" s="608"/>
      <c r="D9" s="608"/>
      <c r="E9" s="608"/>
      <c r="F9" s="608"/>
      <c r="G9" s="608"/>
      <c r="H9" s="608"/>
      <c r="I9" s="608"/>
      <c r="J9" s="608"/>
      <c r="K9" s="608"/>
      <c r="L9" s="609"/>
      <c r="M9" s="14"/>
      <c r="N9" s="14"/>
      <c r="O9" s="10"/>
    </row>
    <row r="10" spans="1:16" s="9" customFormat="1" x14ac:dyDescent="0.25">
      <c r="A10" s="13"/>
      <c r="B10" s="610" t="str">
        <f>'Pro 1'!B10</f>
        <v xml:space="preserve">Utilisez l'onglet AddPro si vous avez besoin de plus d'espace.
</v>
      </c>
      <c r="C10" s="611"/>
      <c r="D10" s="611"/>
      <c r="E10" s="611"/>
      <c r="F10" s="611"/>
      <c r="G10" s="611"/>
      <c r="H10" s="611"/>
      <c r="I10" s="611"/>
      <c r="J10" s="611"/>
      <c r="K10" s="611"/>
      <c r="L10" s="612"/>
      <c r="M10" s="14"/>
      <c r="N10" s="14"/>
      <c r="O10" s="10"/>
      <c r="P10" s="10"/>
    </row>
    <row r="11" spans="1:16" s="9" customFormat="1" x14ac:dyDescent="0.25">
      <c r="A11" s="13"/>
      <c r="B11" s="22"/>
      <c r="C11" s="22"/>
      <c r="D11" s="23"/>
      <c r="E11" s="23"/>
      <c r="F11" s="23"/>
      <c r="G11" s="23"/>
      <c r="H11" s="23"/>
      <c r="I11" s="23"/>
      <c r="J11" s="23"/>
      <c r="K11" s="23"/>
      <c r="L11" s="23"/>
      <c r="O11" s="10"/>
      <c r="P11" s="10"/>
    </row>
    <row r="12" spans="1:16" x14ac:dyDescent="0.25">
      <c r="B12" s="453" t="str">
        <f>IF(Intro!$G$21="English",O12,P12)</f>
        <v>EFFETS NÉGATIFS DES IMPORTATIONS</v>
      </c>
      <c r="C12" s="454"/>
      <c r="D12" s="454"/>
      <c r="E12" s="454"/>
      <c r="F12" s="454"/>
      <c r="G12" s="454"/>
      <c r="H12" s="454"/>
      <c r="I12" s="454"/>
      <c r="J12" s="454"/>
      <c r="K12" s="454"/>
      <c r="L12" s="455"/>
      <c r="M12" s="2"/>
      <c r="O12" s="2" t="s">
        <v>680</v>
      </c>
      <c r="P12" s="2" t="s">
        <v>681</v>
      </c>
    </row>
    <row r="13" spans="1:16" x14ac:dyDescent="0.25">
      <c r="B13" s="592" t="s">
        <v>20</v>
      </c>
      <c r="C13" s="593"/>
      <c r="D13" s="593"/>
      <c r="E13" s="593"/>
      <c r="F13" s="593"/>
      <c r="G13" s="593"/>
      <c r="H13" s="593"/>
      <c r="I13" s="593"/>
      <c r="J13" s="593"/>
      <c r="K13" s="593"/>
      <c r="L13" s="594"/>
      <c r="M13" s="2"/>
    </row>
    <row r="14" spans="1:16" x14ac:dyDescent="0.25">
      <c r="B14" s="170"/>
      <c r="C14" s="171"/>
      <c r="D14" s="171"/>
      <c r="E14" s="171"/>
      <c r="F14" s="171"/>
      <c r="G14" s="171"/>
      <c r="H14" s="171"/>
      <c r="I14" s="171"/>
      <c r="J14" s="171"/>
      <c r="K14" s="171"/>
      <c r="L14" s="172"/>
      <c r="M14" s="2"/>
    </row>
    <row r="15" spans="1:16" x14ac:dyDescent="0.25">
      <c r="B15" s="456" t="str">
        <f>IF(Intro!$G$21="English",O15,P15)</f>
        <v>Identifiez et expliquez tout effet négatif à l'égard des facteurs suivants en raison de l'importation des marchandises en cause depuis le 1er janvier 2023. Fournissez des pièces justificatives dans la mesure du possible.</v>
      </c>
      <c r="C15" s="457"/>
      <c r="D15" s="457"/>
      <c r="E15" s="457"/>
      <c r="F15" s="457"/>
      <c r="G15" s="457"/>
      <c r="H15" s="457"/>
      <c r="I15" s="457"/>
      <c r="J15" s="457"/>
      <c r="K15" s="457"/>
      <c r="L15" s="458"/>
      <c r="M15" s="2"/>
      <c r="O15" s="2" t="str">
        <f>"Identify and explain any negative effects on any of the following factors due to the imports of the subject goods since January 1, "&amp;Variables!B6&amp;". Provide supporting documents to the extent available."</f>
        <v>Identify and explain any negative effects on any of the following factors due to the imports of the subject goods since January 1, 2023. Provide supporting documents to the extent available.</v>
      </c>
      <c r="P15" s="2" t="str">
        <f>"Identifiez et expliquez tout effet négatif à l'égard des facteurs suivants en raison de l'importation des marchandises en cause depuis le 1er janvier "&amp;Variables!B6&amp;". Fournissez des pièces justificatives dans la mesure du possible."</f>
        <v>Identifiez et expliquez tout effet négatif à l'égard des facteurs suivants en raison de l'importation des marchandises en cause depuis le 1er janvier 2023. Fournissez des pièces justificatives dans la mesure du possible.</v>
      </c>
    </row>
    <row r="16" spans="1:16" x14ac:dyDescent="0.25">
      <c r="B16" s="456"/>
      <c r="C16" s="457"/>
      <c r="D16" s="457"/>
      <c r="E16" s="457"/>
      <c r="F16" s="457"/>
      <c r="G16" s="457"/>
      <c r="H16" s="457"/>
      <c r="I16" s="457"/>
      <c r="J16" s="457"/>
      <c r="K16" s="457"/>
      <c r="L16" s="458"/>
      <c r="M16" s="2"/>
      <c r="O16" s="2" t="s">
        <v>362</v>
      </c>
      <c r="P16" s="2" t="s">
        <v>679</v>
      </c>
    </row>
    <row r="17" spans="2:16" x14ac:dyDescent="0.25">
      <c r="B17" s="170"/>
      <c r="C17" s="171"/>
      <c r="D17" s="171"/>
      <c r="E17" s="171"/>
      <c r="F17" s="171"/>
      <c r="G17" s="171"/>
      <c r="H17" s="171"/>
      <c r="I17" s="171"/>
      <c r="J17" s="171"/>
      <c r="K17" s="171"/>
      <c r="L17" s="172"/>
      <c r="M17" s="2"/>
    </row>
    <row r="18" spans="2:16" x14ac:dyDescent="0.25">
      <c r="B18" s="801" t="str">
        <f>IF(Intro!$G$21="English",O18,P18)</f>
        <v>Rendement du capital investi</v>
      </c>
      <c r="C18" s="802"/>
      <c r="D18" s="502"/>
      <c r="E18" s="502"/>
      <c r="F18" s="502"/>
      <c r="G18" s="502"/>
      <c r="H18" s="502"/>
      <c r="I18" s="502"/>
      <c r="J18" s="502"/>
      <c r="K18" s="502"/>
      <c r="L18" s="503"/>
      <c r="M18" s="2"/>
      <c r="O18" s="11" t="s">
        <v>86</v>
      </c>
      <c r="P18" s="2" t="s">
        <v>87</v>
      </c>
    </row>
    <row r="19" spans="2:16" x14ac:dyDescent="0.25">
      <c r="B19" s="803"/>
      <c r="C19" s="804"/>
      <c r="D19" s="502"/>
      <c r="E19" s="502"/>
      <c r="F19" s="502"/>
      <c r="G19" s="502"/>
      <c r="H19" s="502"/>
      <c r="I19" s="502"/>
      <c r="J19" s="502"/>
      <c r="K19" s="502"/>
      <c r="L19" s="503"/>
      <c r="M19" s="2"/>
      <c r="O19" s="11"/>
    </row>
    <row r="20" spans="2:16" x14ac:dyDescent="0.25">
      <c r="B20" s="803"/>
      <c r="C20" s="804"/>
      <c r="D20" s="502"/>
      <c r="E20" s="502"/>
      <c r="F20" s="502"/>
      <c r="G20" s="502"/>
      <c r="H20" s="502"/>
      <c r="I20" s="502"/>
      <c r="J20" s="502"/>
      <c r="K20" s="502"/>
      <c r="L20" s="503"/>
      <c r="M20" s="2"/>
      <c r="O20" s="11"/>
    </row>
    <row r="21" spans="2:16" x14ac:dyDescent="0.25">
      <c r="B21" s="805" t="str">
        <f>IF(Intro!$G$21="English",$O$16,$P$16)</f>
        <v>Sélectionnez oui ou non</v>
      </c>
      <c r="C21" s="806"/>
      <c r="D21" s="502"/>
      <c r="E21" s="502"/>
      <c r="F21" s="502"/>
      <c r="G21" s="502"/>
      <c r="H21" s="502"/>
      <c r="I21" s="502"/>
      <c r="J21" s="502"/>
      <c r="K21" s="502"/>
      <c r="L21" s="503"/>
      <c r="M21" s="2"/>
      <c r="O21" s="11"/>
    </row>
    <row r="22" spans="2:16" x14ac:dyDescent="0.25">
      <c r="B22" s="807"/>
      <c r="C22" s="808"/>
      <c r="D22" s="502"/>
      <c r="E22" s="502"/>
      <c r="F22" s="502"/>
      <c r="G22" s="502"/>
      <c r="H22" s="502"/>
      <c r="I22" s="502"/>
      <c r="J22" s="502"/>
      <c r="K22" s="502"/>
      <c r="L22" s="503"/>
      <c r="M22" s="2"/>
      <c r="O22" s="11"/>
    </row>
    <row r="23" spans="2:16" x14ac:dyDescent="0.25">
      <c r="B23" s="809"/>
      <c r="C23" s="810"/>
      <c r="D23" s="502"/>
      <c r="E23" s="502"/>
      <c r="F23" s="502"/>
      <c r="G23" s="502"/>
      <c r="H23" s="502"/>
      <c r="I23" s="502"/>
      <c r="J23" s="502"/>
      <c r="K23" s="502"/>
      <c r="L23" s="503"/>
      <c r="M23" s="2"/>
      <c r="O23" s="11"/>
    </row>
    <row r="24" spans="2:16" x14ac:dyDescent="0.25">
      <c r="B24" s="811"/>
      <c r="C24" s="812"/>
      <c r="D24" s="502"/>
      <c r="E24" s="502"/>
      <c r="F24" s="502"/>
      <c r="G24" s="502"/>
      <c r="H24" s="502"/>
      <c r="I24" s="502"/>
      <c r="J24" s="502"/>
      <c r="K24" s="502"/>
      <c r="L24" s="503"/>
      <c r="M24" s="2"/>
      <c r="O24" s="11"/>
    </row>
    <row r="25" spans="2:16" x14ac:dyDescent="0.25">
      <c r="B25" s="811"/>
      <c r="C25" s="812"/>
      <c r="D25" s="502"/>
      <c r="E25" s="502"/>
      <c r="F25" s="502"/>
      <c r="G25" s="502"/>
      <c r="H25" s="502"/>
      <c r="I25" s="502"/>
      <c r="J25" s="502"/>
      <c r="K25" s="502"/>
      <c r="L25" s="503"/>
      <c r="M25" s="2"/>
      <c r="O25" s="11"/>
    </row>
    <row r="26" spans="2:16" x14ac:dyDescent="0.25">
      <c r="B26" s="811"/>
      <c r="C26" s="812"/>
      <c r="D26" s="502"/>
      <c r="E26" s="502"/>
      <c r="F26" s="502"/>
      <c r="G26" s="502"/>
      <c r="H26" s="502"/>
      <c r="I26" s="502"/>
      <c r="J26" s="502"/>
      <c r="K26" s="502"/>
      <c r="L26" s="503"/>
      <c r="M26" s="2"/>
      <c r="O26" s="11"/>
    </row>
    <row r="27" spans="2:16" x14ac:dyDescent="0.25">
      <c r="B27" s="805"/>
      <c r="C27" s="806"/>
      <c r="D27" s="502"/>
      <c r="E27" s="502"/>
      <c r="F27" s="502"/>
      <c r="G27" s="502"/>
      <c r="H27" s="502"/>
      <c r="I27" s="502"/>
      <c r="J27" s="502"/>
      <c r="K27" s="502"/>
      <c r="L27" s="503"/>
      <c r="M27" s="2"/>
      <c r="O27" s="11"/>
    </row>
    <row r="28" spans="2:16" x14ac:dyDescent="0.25">
      <c r="B28" s="801" t="str">
        <f>IF(Intro!$G$21="English",O28,P28)</f>
        <v>Croissance</v>
      </c>
      <c r="C28" s="802"/>
      <c r="D28" s="502"/>
      <c r="E28" s="502"/>
      <c r="F28" s="502"/>
      <c r="G28" s="502"/>
      <c r="H28" s="502"/>
      <c r="I28" s="502"/>
      <c r="J28" s="502"/>
      <c r="K28" s="502"/>
      <c r="L28" s="503"/>
      <c r="M28" s="2"/>
      <c r="O28" s="11" t="s">
        <v>88</v>
      </c>
      <c r="P28" s="11" t="s">
        <v>89</v>
      </c>
    </row>
    <row r="29" spans="2:16" x14ac:dyDescent="0.25">
      <c r="B29" s="803"/>
      <c r="C29" s="804"/>
      <c r="D29" s="502"/>
      <c r="E29" s="502"/>
      <c r="F29" s="502"/>
      <c r="G29" s="502"/>
      <c r="H29" s="502"/>
      <c r="I29" s="502"/>
      <c r="J29" s="502"/>
      <c r="K29" s="502"/>
      <c r="L29" s="503"/>
      <c r="M29" s="2"/>
    </row>
    <row r="30" spans="2:16" x14ac:dyDescent="0.25">
      <c r="B30" s="803"/>
      <c r="C30" s="804"/>
      <c r="D30" s="502"/>
      <c r="E30" s="502"/>
      <c r="F30" s="502"/>
      <c r="G30" s="502"/>
      <c r="H30" s="502"/>
      <c r="I30" s="502"/>
      <c r="J30" s="502"/>
      <c r="K30" s="502"/>
      <c r="L30" s="503"/>
      <c r="M30" s="2"/>
    </row>
    <row r="31" spans="2:16" x14ac:dyDescent="0.25">
      <c r="B31" s="805" t="str">
        <f>IF(Intro!$G$21="English",$O$16,$P$16)</f>
        <v>Sélectionnez oui ou non</v>
      </c>
      <c r="C31" s="806"/>
      <c r="D31" s="502"/>
      <c r="E31" s="502"/>
      <c r="F31" s="502"/>
      <c r="G31" s="502"/>
      <c r="H31" s="502"/>
      <c r="I31" s="502"/>
      <c r="J31" s="502"/>
      <c r="K31" s="502"/>
      <c r="L31" s="503"/>
      <c r="M31" s="2"/>
    </row>
    <row r="32" spans="2:16" x14ac:dyDescent="0.25">
      <c r="B32" s="807"/>
      <c r="C32" s="808"/>
      <c r="D32" s="502"/>
      <c r="E32" s="502"/>
      <c r="F32" s="502"/>
      <c r="G32" s="502"/>
      <c r="H32" s="502"/>
      <c r="I32" s="502"/>
      <c r="J32" s="502"/>
      <c r="K32" s="502"/>
      <c r="L32" s="503"/>
      <c r="M32" s="2"/>
    </row>
    <row r="33" spans="2:16" x14ac:dyDescent="0.25">
      <c r="B33" s="809"/>
      <c r="C33" s="810"/>
      <c r="D33" s="502"/>
      <c r="E33" s="502"/>
      <c r="F33" s="502"/>
      <c r="G33" s="502"/>
      <c r="H33" s="502"/>
      <c r="I33" s="502"/>
      <c r="J33" s="502"/>
      <c r="K33" s="502"/>
      <c r="L33" s="503"/>
      <c r="M33" s="2"/>
      <c r="O33" s="11"/>
    </row>
    <row r="34" spans="2:16" x14ac:dyDescent="0.25">
      <c r="B34" s="811"/>
      <c r="C34" s="812"/>
      <c r="D34" s="502"/>
      <c r="E34" s="502"/>
      <c r="F34" s="502"/>
      <c r="G34" s="502"/>
      <c r="H34" s="502"/>
      <c r="I34" s="502"/>
      <c r="J34" s="502"/>
      <c r="K34" s="502"/>
      <c r="L34" s="503"/>
      <c r="M34" s="2"/>
      <c r="O34" s="11"/>
    </row>
    <row r="35" spans="2:16" x14ac:dyDescent="0.25">
      <c r="B35" s="811"/>
      <c r="C35" s="812"/>
      <c r="D35" s="502"/>
      <c r="E35" s="502"/>
      <c r="F35" s="502"/>
      <c r="G35" s="502"/>
      <c r="H35" s="502"/>
      <c r="I35" s="502"/>
      <c r="J35" s="502"/>
      <c r="K35" s="502"/>
      <c r="L35" s="503"/>
      <c r="M35" s="2"/>
      <c r="O35" s="11"/>
    </row>
    <row r="36" spans="2:16" x14ac:dyDescent="0.25">
      <c r="B36" s="811"/>
      <c r="C36" s="812"/>
      <c r="D36" s="502"/>
      <c r="E36" s="502"/>
      <c r="F36" s="502"/>
      <c r="G36" s="502"/>
      <c r="H36" s="502"/>
      <c r="I36" s="502"/>
      <c r="J36" s="502"/>
      <c r="K36" s="502"/>
      <c r="L36" s="503"/>
      <c r="M36" s="2"/>
      <c r="O36" s="11"/>
    </row>
    <row r="37" spans="2:16" x14ac:dyDescent="0.25">
      <c r="B37" s="805"/>
      <c r="C37" s="806"/>
      <c r="D37" s="502"/>
      <c r="E37" s="502"/>
      <c r="F37" s="502"/>
      <c r="G37" s="502"/>
      <c r="H37" s="502"/>
      <c r="I37" s="502"/>
      <c r="J37" s="502"/>
      <c r="K37" s="502"/>
      <c r="L37" s="503"/>
      <c r="M37" s="2"/>
    </row>
    <row r="38" spans="2:16" x14ac:dyDescent="0.25">
      <c r="B38" s="801" t="str">
        <f>IF(Intro!$G$21="English",O38,P38)</f>
        <v>Capacité de réunir des capitaux</v>
      </c>
      <c r="C38" s="802"/>
      <c r="D38" s="502"/>
      <c r="E38" s="502"/>
      <c r="F38" s="502"/>
      <c r="G38" s="502"/>
      <c r="H38" s="502"/>
      <c r="I38" s="502"/>
      <c r="J38" s="502"/>
      <c r="K38" s="502"/>
      <c r="L38" s="503"/>
      <c r="M38" s="2"/>
      <c r="O38" s="11" t="s">
        <v>90</v>
      </c>
      <c r="P38" s="11" t="s">
        <v>91</v>
      </c>
    </row>
    <row r="39" spans="2:16" x14ac:dyDescent="0.25">
      <c r="B39" s="803"/>
      <c r="C39" s="804"/>
      <c r="D39" s="502"/>
      <c r="E39" s="502"/>
      <c r="F39" s="502"/>
      <c r="G39" s="502"/>
      <c r="H39" s="502"/>
      <c r="I39" s="502"/>
      <c r="J39" s="502"/>
      <c r="K39" s="502"/>
      <c r="L39" s="503"/>
      <c r="M39" s="2"/>
    </row>
    <row r="40" spans="2:16" x14ac:dyDescent="0.25">
      <c r="B40" s="803"/>
      <c r="C40" s="804"/>
      <c r="D40" s="502"/>
      <c r="E40" s="502"/>
      <c r="F40" s="502"/>
      <c r="G40" s="502"/>
      <c r="H40" s="502"/>
      <c r="I40" s="502"/>
      <c r="J40" s="502"/>
      <c r="K40" s="502"/>
      <c r="L40" s="503"/>
      <c r="M40" s="2"/>
    </row>
    <row r="41" spans="2:16" x14ac:dyDescent="0.25">
      <c r="B41" s="805" t="str">
        <f>IF(Intro!$G$21="English",$O$16,$P$16)</f>
        <v>Sélectionnez oui ou non</v>
      </c>
      <c r="C41" s="806"/>
      <c r="D41" s="502"/>
      <c r="E41" s="502"/>
      <c r="F41" s="502"/>
      <c r="G41" s="502"/>
      <c r="H41" s="502"/>
      <c r="I41" s="502"/>
      <c r="J41" s="502"/>
      <c r="K41" s="502"/>
      <c r="L41" s="503"/>
      <c r="M41" s="2"/>
    </row>
    <row r="42" spans="2:16" x14ac:dyDescent="0.25">
      <c r="B42" s="807"/>
      <c r="C42" s="808"/>
      <c r="D42" s="502"/>
      <c r="E42" s="502"/>
      <c r="F42" s="502"/>
      <c r="G42" s="502"/>
      <c r="H42" s="502"/>
      <c r="I42" s="502"/>
      <c r="J42" s="502"/>
      <c r="K42" s="502"/>
      <c r="L42" s="503"/>
      <c r="M42" s="2"/>
      <c r="O42" s="11"/>
    </row>
    <row r="43" spans="2:16" x14ac:dyDescent="0.25">
      <c r="B43" s="809"/>
      <c r="C43" s="810"/>
      <c r="D43" s="502"/>
      <c r="E43" s="502"/>
      <c r="F43" s="502"/>
      <c r="G43" s="502"/>
      <c r="H43" s="502"/>
      <c r="I43" s="502"/>
      <c r="J43" s="502"/>
      <c r="K43" s="502"/>
      <c r="L43" s="503"/>
      <c r="M43" s="2"/>
      <c r="O43" s="11"/>
    </row>
    <row r="44" spans="2:16" x14ac:dyDescent="0.25">
      <c r="B44" s="811"/>
      <c r="C44" s="812"/>
      <c r="D44" s="502"/>
      <c r="E44" s="502"/>
      <c r="F44" s="502"/>
      <c r="G44" s="502"/>
      <c r="H44" s="502"/>
      <c r="I44" s="502"/>
      <c r="J44" s="502"/>
      <c r="K44" s="502"/>
      <c r="L44" s="503"/>
      <c r="M44" s="2"/>
      <c r="O44" s="11"/>
    </row>
    <row r="45" spans="2:16" x14ac:dyDescent="0.25">
      <c r="B45" s="811"/>
      <c r="C45" s="812"/>
      <c r="D45" s="502"/>
      <c r="E45" s="502"/>
      <c r="F45" s="502"/>
      <c r="G45" s="502"/>
      <c r="H45" s="502"/>
      <c r="I45" s="502"/>
      <c r="J45" s="502"/>
      <c r="K45" s="502"/>
      <c r="L45" s="503"/>
      <c r="M45" s="2"/>
      <c r="O45" s="11"/>
    </row>
    <row r="46" spans="2:16" x14ac:dyDescent="0.25">
      <c r="B46" s="811"/>
      <c r="C46" s="812"/>
      <c r="D46" s="502"/>
      <c r="E46" s="502"/>
      <c r="F46" s="502"/>
      <c r="G46" s="502"/>
      <c r="H46" s="502"/>
      <c r="I46" s="502"/>
      <c r="J46" s="502"/>
      <c r="K46" s="502"/>
      <c r="L46" s="503"/>
      <c r="M46" s="2"/>
      <c r="O46" s="11"/>
    </row>
    <row r="47" spans="2:16" x14ac:dyDescent="0.25">
      <c r="B47" s="805"/>
      <c r="C47" s="806"/>
      <c r="D47" s="502"/>
      <c r="E47" s="502"/>
      <c r="F47" s="502"/>
      <c r="G47" s="502"/>
      <c r="H47" s="502"/>
      <c r="I47" s="502"/>
      <c r="J47" s="502"/>
      <c r="K47" s="502"/>
      <c r="L47" s="503"/>
      <c r="M47" s="2"/>
      <c r="O47" s="11"/>
    </row>
    <row r="48" spans="2:16" x14ac:dyDescent="0.25">
      <c r="B48" s="801" t="str">
        <f>IF(Intro!$G$21="English",O48,P48)</f>
        <v xml:space="preserve">Projets de développement de la production </v>
      </c>
      <c r="C48" s="802"/>
      <c r="D48" s="502"/>
      <c r="E48" s="502"/>
      <c r="F48" s="502"/>
      <c r="G48" s="502"/>
      <c r="H48" s="502"/>
      <c r="I48" s="502"/>
      <c r="J48" s="502"/>
      <c r="K48" s="502"/>
      <c r="L48" s="503"/>
      <c r="M48" s="2"/>
      <c r="O48" s="11" t="s">
        <v>92</v>
      </c>
      <c r="P48" s="11" t="s">
        <v>93</v>
      </c>
    </row>
    <row r="49" spans="2:16" x14ac:dyDescent="0.25">
      <c r="B49" s="803"/>
      <c r="C49" s="804"/>
      <c r="D49" s="502"/>
      <c r="E49" s="502"/>
      <c r="F49" s="502"/>
      <c r="G49" s="502"/>
      <c r="H49" s="502"/>
      <c r="I49" s="502"/>
      <c r="J49" s="502"/>
      <c r="K49" s="502"/>
      <c r="L49" s="503"/>
      <c r="M49" s="2"/>
      <c r="O49" s="11"/>
    </row>
    <row r="50" spans="2:16" x14ac:dyDescent="0.25">
      <c r="B50" s="803"/>
      <c r="C50" s="804"/>
      <c r="D50" s="502"/>
      <c r="E50" s="502"/>
      <c r="F50" s="502"/>
      <c r="G50" s="502"/>
      <c r="H50" s="502"/>
      <c r="I50" s="502"/>
      <c r="J50" s="502"/>
      <c r="K50" s="502"/>
      <c r="L50" s="503"/>
      <c r="M50" s="2"/>
      <c r="O50" s="11"/>
    </row>
    <row r="51" spans="2:16" x14ac:dyDescent="0.25">
      <c r="B51" s="805" t="str">
        <f>IF(Intro!$G$21="English",$O$16,$P$16)</f>
        <v>Sélectionnez oui ou non</v>
      </c>
      <c r="C51" s="806"/>
      <c r="D51" s="502"/>
      <c r="E51" s="502"/>
      <c r="F51" s="502"/>
      <c r="G51" s="502"/>
      <c r="H51" s="502"/>
      <c r="I51" s="502"/>
      <c r="J51" s="502"/>
      <c r="K51" s="502"/>
      <c r="L51" s="503"/>
      <c r="M51" s="2"/>
      <c r="O51" s="11"/>
    </row>
    <row r="52" spans="2:16" x14ac:dyDescent="0.25">
      <c r="B52" s="807"/>
      <c r="C52" s="808"/>
      <c r="D52" s="502"/>
      <c r="E52" s="502"/>
      <c r="F52" s="502"/>
      <c r="G52" s="502"/>
      <c r="H52" s="502"/>
      <c r="I52" s="502"/>
      <c r="J52" s="502"/>
      <c r="K52" s="502"/>
      <c r="L52" s="503"/>
      <c r="M52" s="2"/>
      <c r="O52" s="11"/>
    </row>
    <row r="53" spans="2:16" x14ac:dyDescent="0.25">
      <c r="B53" s="809"/>
      <c r="C53" s="810"/>
      <c r="D53" s="502"/>
      <c r="E53" s="502"/>
      <c r="F53" s="502"/>
      <c r="G53" s="502"/>
      <c r="H53" s="502"/>
      <c r="I53" s="502"/>
      <c r="J53" s="502"/>
      <c r="K53" s="502"/>
      <c r="L53" s="503"/>
      <c r="M53" s="2"/>
      <c r="O53" s="11"/>
    </row>
    <row r="54" spans="2:16" x14ac:dyDescent="0.25">
      <c r="B54" s="811"/>
      <c r="C54" s="812"/>
      <c r="D54" s="502"/>
      <c r="E54" s="502"/>
      <c r="F54" s="502"/>
      <c r="G54" s="502"/>
      <c r="H54" s="502"/>
      <c r="I54" s="502"/>
      <c r="J54" s="502"/>
      <c r="K54" s="502"/>
      <c r="L54" s="503"/>
      <c r="M54" s="2"/>
      <c r="O54" s="11"/>
    </row>
    <row r="55" spans="2:16" x14ac:dyDescent="0.25">
      <c r="B55" s="811"/>
      <c r="C55" s="812"/>
      <c r="D55" s="502"/>
      <c r="E55" s="502"/>
      <c r="F55" s="502"/>
      <c r="G55" s="502"/>
      <c r="H55" s="502"/>
      <c r="I55" s="502"/>
      <c r="J55" s="502"/>
      <c r="K55" s="502"/>
      <c r="L55" s="503"/>
      <c r="M55" s="2"/>
      <c r="O55" s="11"/>
    </row>
    <row r="56" spans="2:16" x14ac:dyDescent="0.25">
      <c r="B56" s="811"/>
      <c r="C56" s="812"/>
      <c r="D56" s="502"/>
      <c r="E56" s="502"/>
      <c r="F56" s="502"/>
      <c r="G56" s="502"/>
      <c r="H56" s="502"/>
      <c r="I56" s="502"/>
      <c r="J56" s="502"/>
      <c r="K56" s="502"/>
      <c r="L56" s="503"/>
      <c r="M56" s="2"/>
      <c r="O56" s="11"/>
    </row>
    <row r="57" spans="2:16" x14ac:dyDescent="0.25">
      <c r="B57" s="805"/>
      <c r="C57" s="806"/>
      <c r="D57" s="502"/>
      <c r="E57" s="502"/>
      <c r="F57" s="502"/>
      <c r="G57" s="502"/>
      <c r="H57" s="502"/>
      <c r="I57" s="502"/>
      <c r="J57" s="502"/>
      <c r="K57" s="502"/>
      <c r="L57" s="503"/>
      <c r="M57" s="2"/>
      <c r="O57" s="11"/>
    </row>
    <row r="58" spans="2:16" x14ac:dyDescent="0.25">
      <c r="B58" s="801" t="str">
        <f>IF(Intro!$G$21="English",O58,P58)</f>
        <v>Les niveaux d’emploi de votre entreprise</v>
      </c>
      <c r="C58" s="802"/>
      <c r="D58" s="502"/>
      <c r="E58" s="502"/>
      <c r="F58" s="502"/>
      <c r="G58" s="502"/>
      <c r="H58" s="502"/>
      <c r="I58" s="502"/>
      <c r="J58" s="502"/>
      <c r="K58" s="502"/>
      <c r="L58" s="503"/>
      <c r="M58" s="2"/>
      <c r="O58" s="11" t="s">
        <v>298</v>
      </c>
      <c r="P58" s="11" t="s">
        <v>299</v>
      </c>
    </row>
    <row r="59" spans="2:16" x14ac:dyDescent="0.25">
      <c r="B59" s="803"/>
      <c r="C59" s="804"/>
      <c r="D59" s="502"/>
      <c r="E59" s="502"/>
      <c r="F59" s="502"/>
      <c r="G59" s="502"/>
      <c r="H59" s="502"/>
      <c r="I59" s="502"/>
      <c r="J59" s="502"/>
      <c r="K59" s="502"/>
      <c r="L59" s="503"/>
      <c r="M59" s="2"/>
      <c r="O59" s="11"/>
    </row>
    <row r="60" spans="2:16" x14ac:dyDescent="0.25">
      <c r="B60" s="803"/>
      <c r="C60" s="804"/>
      <c r="D60" s="502"/>
      <c r="E60" s="502"/>
      <c r="F60" s="502"/>
      <c r="G60" s="502"/>
      <c r="H60" s="502"/>
      <c r="I60" s="502"/>
      <c r="J60" s="502"/>
      <c r="K60" s="502"/>
      <c r="L60" s="503"/>
      <c r="M60" s="2"/>
      <c r="O60" s="11"/>
    </row>
    <row r="61" spans="2:16" x14ac:dyDescent="0.25">
      <c r="B61" s="805" t="str">
        <f>IF(Intro!$G$21="English",$O$16,$P$16)</f>
        <v>Sélectionnez oui ou non</v>
      </c>
      <c r="C61" s="806"/>
      <c r="D61" s="502"/>
      <c r="E61" s="502"/>
      <c r="F61" s="502"/>
      <c r="G61" s="502"/>
      <c r="H61" s="502"/>
      <c r="I61" s="502"/>
      <c r="J61" s="502"/>
      <c r="K61" s="502"/>
      <c r="L61" s="503"/>
      <c r="M61" s="2"/>
      <c r="O61" s="11"/>
    </row>
    <row r="62" spans="2:16" x14ac:dyDescent="0.25">
      <c r="B62" s="807"/>
      <c r="C62" s="808"/>
      <c r="D62" s="502"/>
      <c r="E62" s="502"/>
      <c r="F62" s="502"/>
      <c r="G62" s="502"/>
      <c r="H62" s="502"/>
      <c r="I62" s="502"/>
      <c r="J62" s="502"/>
      <c r="K62" s="502"/>
      <c r="L62" s="503"/>
      <c r="M62" s="2"/>
      <c r="O62" s="11"/>
    </row>
    <row r="63" spans="2:16" x14ac:dyDescent="0.25">
      <c r="B63" s="809"/>
      <c r="C63" s="810"/>
      <c r="D63" s="502"/>
      <c r="E63" s="502"/>
      <c r="F63" s="502"/>
      <c r="G63" s="502"/>
      <c r="H63" s="502"/>
      <c r="I63" s="502"/>
      <c r="J63" s="502"/>
      <c r="K63" s="502"/>
      <c r="L63" s="503"/>
      <c r="M63" s="2"/>
      <c r="O63" s="11"/>
    </row>
    <row r="64" spans="2:16" x14ac:dyDescent="0.25">
      <c r="B64" s="811"/>
      <c r="C64" s="812"/>
      <c r="D64" s="502"/>
      <c r="E64" s="502"/>
      <c r="F64" s="502"/>
      <c r="G64" s="502"/>
      <c r="H64" s="502"/>
      <c r="I64" s="502"/>
      <c r="J64" s="502"/>
      <c r="K64" s="502"/>
      <c r="L64" s="503"/>
      <c r="M64" s="2"/>
      <c r="O64" s="11"/>
    </row>
    <row r="65" spans="2:16" x14ac:dyDescent="0.25">
      <c r="B65" s="811"/>
      <c r="C65" s="812"/>
      <c r="D65" s="502"/>
      <c r="E65" s="502"/>
      <c r="F65" s="502"/>
      <c r="G65" s="502"/>
      <c r="H65" s="502"/>
      <c r="I65" s="502"/>
      <c r="J65" s="502"/>
      <c r="K65" s="502"/>
      <c r="L65" s="503"/>
      <c r="M65" s="2"/>
      <c r="O65" s="11"/>
    </row>
    <row r="66" spans="2:16" x14ac:dyDescent="0.25">
      <c r="B66" s="811"/>
      <c r="C66" s="812"/>
      <c r="D66" s="502"/>
      <c r="E66" s="502"/>
      <c r="F66" s="502"/>
      <c r="G66" s="502"/>
      <c r="H66" s="502"/>
      <c r="I66" s="502"/>
      <c r="J66" s="502"/>
      <c r="K66" s="502"/>
      <c r="L66" s="503"/>
      <c r="M66" s="2"/>
      <c r="O66" s="11"/>
    </row>
    <row r="67" spans="2:16" x14ac:dyDescent="0.25">
      <c r="B67" s="805"/>
      <c r="C67" s="806"/>
      <c r="D67" s="502"/>
      <c r="E67" s="502"/>
      <c r="F67" s="502"/>
      <c r="G67" s="502"/>
      <c r="H67" s="502"/>
      <c r="I67" s="502"/>
      <c r="J67" s="502"/>
      <c r="K67" s="502"/>
      <c r="L67" s="503"/>
      <c r="M67" s="2"/>
      <c r="O67" s="11"/>
    </row>
    <row r="68" spans="2:16" x14ac:dyDescent="0.25">
      <c r="B68" s="801" t="str">
        <f>IF(Intro!$G$21="English",O68,P68)</f>
        <v>Les salaires de vos employés</v>
      </c>
      <c r="C68" s="802"/>
      <c r="D68" s="502"/>
      <c r="E68" s="502"/>
      <c r="F68" s="502"/>
      <c r="G68" s="502"/>
      <c r="H68" s="502"/>
      <c r="I68" s="502"/>
      <c r="J68" s="502"/>
      <c r="K68" s="502"/>
      <c r="L68" s="503"/>
      <c r="M68" s="2"/>
      <c r="O68" s="11" t="s">
        <v>300</v>
      </c>
      <c r="P68" s="11" t="s">
        <v>301</v>
      </c>
    </row>
    <row r="69" spans="2:16" x14ac:dyDescent="0.25">
      <c r="B69" s="803"/>
      <c r="C69" s="804"/>
      <c r="D69" s="502"/>
      <c r="E69" s="502"/>
      <c r="F69" s="502"/>
      <c r="G69" s="502"/>
      <c r="H69" s="502"/>
      <c r="I69" s="502"/>
      <c r="J69" s="502"/>
      <c r="K69" s="502"/>
      <c r="L69" s="503"/>
      <c r="M69" s="2"/>
      <c r="O69" s="11"/>
    </row>
    <row r="70" spans="2:16" x14ac:dyDescent="0.25">
      <c r="B70" s="803"/>
      <c r="C70" s="804"/>
      <c r="D70" s="502"/>
      <c r="E70" s="502"/>
      <c r="F70" s="502"/>
      <c r="G70" s="502"/>
      <c r="H70" s="502"/>
      <c r="I70" s="502"/>
      <c r="J70" s="502"/>
      <c r="K70" s="502"/>
      <c r="L70" s="503"/>
      <c r="M70" s="2"/>
      <c r="O70" s="11"/>
    </row>
    <row r="71" spans="2:16" x14ac:dyDescent="0.25">
      <c r="B71" s="805" t="str">
        <f>IF(Intro!$G$21="English",$O$16,$P$16)</f>
        <v>Sélectionnez oui ou non</v>
      </c>
      <c r="C71" s="806"/>
      <c r="D71" s="502"/>
      <c r="E71" s="502"/>
      <c r="F71" s="502"/>
      <c r="G71" s="502"/>
      <c r="H71" s="502"/>
      <c r="I71" s="502"/>
      <c r="J71" s="502"/>
      <c r="K71" s="502"/>
      <c r="L71" s="503"/>
      <c r="M71" s="2"/>
      <c r="O71" s="11"/>
    </row>
    <row r="72" spans="2:16" x14ac:dyDescent="0.25">
      <c r="B72" s="807"/>
      <c r="C72" s="808"/>
      <c r="D72" s="502"/>
      <c r="E72" s="502"/>
      <c r="F72" s="502"/>
      <c r="G72" s="502"/>
      <c r="H72" s="502"/>
      <c r="I72" s="502"/>
      <c r="J72" s="502"/>
      <c r="K72" s="502"/>
      <c r="L72" s="503"/>
      <c r="M72" s="2"/>
      <c r="O72" s="11"/>
    </row>
    <row r="73" spans="2:16" x14ac:dyDescent="0.25">
      <c r="B73" s="809"/>
      <c r="C73" s="810"/>
      <c r="D73" s="502"/>
      <c r="E73" s="502"/>
      <c r="F73" s="502"/>
      <c r="G73" s="502"/>
      <c r="H73" s="502"/>
      <c r="I73" s="502"/>
      <c r="J73" s="502"/>
      <c r="K73" s="502"/>
      <c r="L73" s="503"/>
      <c r="M73" s="2"/>
      <c r="O73" s="11"/>
    </row>
    <row r="74" spans="2:16" x14ac:dyDescent="0.25">
      <c r="B74" s="811"/>
      <c r="C74" s="812"/>
      <c r="D74" s="502"/>
      <c r="E74" s="502"/>
      <c r="F74" s="502"/>
      <c r="G74" s="502"/>
      <c r="H74" s="502"/>
      <c r="I74" s="502"/>
      <c r="J74" s="502"/>
      <c r="K74" s="502"/>
      <c r="L74" s="503"/>
      <c r="M74" s="2"/>
      <c r="O74" s="11"/>
    </row>
    <row r="75" spans="2:16" x14ac:dyDescent="0.25">
      <c r="B75" s="811"/>
      <c r="C75" s="812"/>
      <c r="D75" s="502"/>
      <c r="E75" s="502"/>
      <c r="F75" s="502"/>
      <c r="G75" s="502"/>
      <c r="H75" s="502"/>
      <c r="I75" s="502"/>
      <c r="J75" s="502"/>
      <c r="K75" s="502"/>
      <c r="L75" s="503"/>
      <c r="M75" s="2"/>
      <c r="O75" s="11"/>
    </row>
    <row r="76" spans="2:16" x14ac:dyDescent="0.25">
      <c r="B76" s="811"/>
      <c r="C76" s="812"/>
      <c r="D76" s="502"/>
      <c r="E76" s="502"/>
      <c r="F76" s="502"/>
      <c r="G76" s="502"/>
      <c r="H76" s="502"/>
      <c r="I76" s="502"/>
      <c r="J76" s="502"/>
      <c r="K76" s="502"/>
      <c r="L76" s="503"/>
      <c r="M76" s="2"/>
      <c r="O76" s="11"/>
    </row>
    <row r="77" spans="2:16" x14ac:dyDescent="0.25">
      <c r="B77" s="805"/>
      <c r="C77" s="806"/>
      <c r="D77" s="502"/>
      <c r="E77" s="502"/>
      <c r="F77" s="502"/>
      <c r="G77" s="502"/>
      <c r="H77" s="502"/>
      <c r="I77" s="502"/>
      <c r="J77" s="502"/>
      <c r="K77" s="502"/>
      <c r="L77" s="503"/>
      <c r="M77" s="2"/>
      <c r="O77" s="11"/>
    </row>
    <row r="78" spans="2:16" x14ac:dyDescent="0.25">
      <c r="B78" s="801" t="str">
        <f>IF(Intro!$G$21="English",O78,P78)</f>
        <v>Le nombre d’heures de travail</v>
      </c>
      <c r="C78" s="802"/>
      <c r="D78" s="502"/>
      <c r="E78" s="502"/>
      <c r="F78" s="502"/>
      <c r="G78" s="502"/>
      <c r="H78" s="502"/>
      <c r="I78" s="502"/>
      <c r="J78" s="502"/>
      <c r="K78" s="502"/>
      <c r="L78" s="503"/>
      <c r="M78" s="2"/>
      <c r="O78" s="11" t="s">
        <v>302</v>
      </c>
      <c r="P78" s="11" t="s">
        <v>303</v>
      </c>
    </row>
    <row r="79" spans="2:16" x14ac:dyDescent="0.25">
      <c r="B79" s="803"/>
      <c r="C79" s="804"/>
      <c r="D79" s="502"/>
      <c r="E79" s="502"/>
      <c r="F79" s="502"/>
      <c r="G79" s="502"/>
      <c r="H79" s="502"/>
      <c r="I79" s="502"/>
      <c r="J79" s="502"/>
      <c r="K79" s="502"/>
      <c r="L79" s="503"/>
      <c r="M79" s="2"/>
      <c r="O79" s="11"/>
    </row>
    <row r="80" spans="2:16" x14ac:dyDescent="0.25">
      <c r="B80" s="803"/>
      <c r="C80" s="804"/>
      <c r="D80" s="502"/>
      <c r="E80" s="502"/>
      <c r="F80" s="502"/>
      <c r="G80" s="502"/>
      <c r="H80" s="502"/>
      <c r="I80" s="502"/>
      <c r="J80" s="502"/>
      <c r="K80" s="502"/>
      <c r="L80" s="503"/>
      <c r="M80" s="2"/>
      <c r="O80" s="11"/>
    </row>
    <row r="81" spans="2:16" x14ac:dyDescent="0.25">
      <c r="B81" s="805" t="str">
        <f>IF(Intro!$G$21="English",$O$16,$P$16)</f>
        <v>Sélectionnez oui ou non</v>
      </c>
      <c r="C81" s="806"/>
      <c r="D81" s="502"/>
      <c r="E81" s="502"/>
      <c r="F81" s="502"/>
      <c r="G81" s="502"/>
      <c r="H81" s="502"/>
      <c r="I81" s="502"/>
      <c r="J81" s="502"/>
      <c r="K81" s="502"/>
      <c r="L81" s="503"/>
      <c r="M81" s="2"/>
      <c r="O81" s="11"/>
    </row>
    <row r="82" spans="2:16" x14ac:dyDescent="0.25">
      <c r="B82" s="807"/>
      <c r="C82" s="808"/>
      <c r="D82" s="502"/>
      <c r="E82" s="502"/>
      <c r="F82" s="502"/>
      <c r="G82" s="502"/>
      <c r="H82" s="502"/>
      <c r="I82" s="502"/>
      <c r="J82" s="502"/>
      <c r="K82" s="502"/>
      <c r="L82" s="503"/>
      <c r="M82" s="2"/>
      <c r="O82" s="11"/>
    </row>
    <row r="83" spans="2:16" x14ac:dyDescent="0.25">
      <c r="B83" s="809"/>
      <c r="C83" s="810"/>
      <c r="D83" s="502"/>
      <c r="E83" s="502"/>
      <c r="F83" s="502"/>
      <c r="G83" s="502"/>
      <c r="H83" s="502"/>
      <c r="I83" s="502"/>
      <c r="J83" s="502"/>
      <c r="K83" s="502"/>
      <c r="L83" s="503"/>
      <c r="M83" s="2"/>
      <c r="O83" s="11"/>
    </row>
    <row r="84" spans="2:16" x14ac:dyDescent="0.25">
      <c r="B84" s="811"/>
      <c r="C84" s="812"/>
      <c r="D84" s="502"/>
      <c r="E84" s="502"/>
      <c r="F84" s="502"/>
      <c r="G84" s="502"/>
      <c r="H84" s="502"/>
      <c r="I84" s="502"/>
      <c r="J84" s="502"/>
      <c r="K84" s="502"/>
      <c r="L84" s="503"/>
      <c r="M84" s="2"/>
      <c r="O84" s="11"/>
    </row>
    <row r="85" spans="2:16" x14ac:dyDescent="0.25">
      <c r="B85" s="811"/>
      <c r="C85" s="812"/>
      <c r="D85" s="502"/>
      <c r="E85" s="502"/>
      <c r="F85" s="502"/>
      <c r="G85" s="502"/>
      <c r="H85" s="502"/>
      <c r="I85" s="502"/>
      <c r="J85" s="502"/>
      <c r="K85" s="502"/>
      <c r="L85" s="503"/>
      <c r="M85" s="2"/>
      <c r="O85" s="11"/>
    </row>
    <row r="86" spans="2:16" x14ac:dyDescent="0.25">
      <c r="B86" s="811"/>
      <c r="C86" s="812"/>
      <c r="D86" s="502"/>
      <c r="E86" s="502"/>
      <c r="F86" s="502"/>
      <c r="G86" s="502"/>
      <c r="H86" s="502"/>
      <c r="I86" s="502"/>
      <c r="J86" s="502"/>
      <c r="K86" s="502"/>
      <c r="L86" s="503"/>
      <c r="M86" s="2"/>
      <c r="O86" s="11"/>
    </row>
    <row r="87" spans="2:16" x14ac:dyDescent="0.25">
      <c r="B87" s="805"/>
      <c r="C87" s="806"/>
      <c r="D87" s="502"/>
      <c r="E87" s="502"/>
      <c r="F87" s="502"/>
      <c r="G87" s="502"/>
      <c r="H87" s="502"/>
      <c r="I87" s="502"/>
      <c r="J87" s="502"/>
      <c r="K87" s="502"/>
      <c r="L87" s="503"/>
      <c r="M87" s="2"/>
      <c r="O87" s="11"/>
    </row>
    <row r="88" spans="2:16" x14ac:dyDescent="0.25">
      <c r="B88" s="801" t="str">
        <f>IF(Intro!$G$21="English",O88,P88)</f>
        <v>Le régime de pension</v>
      </c>
      <c r="C88" s="802"/>
      <c r="D88" s="502"/>
      <c r="E88" s="502"/>
      <c r="F88" s="502"/>
      <c r="G88" s="502"/>
      <c r="H88" s="502"/>
      <c r="I88" s="502"/>
      <c r="J88" s="502"/>
      <c r="K88" s="502"/>
      <c r="L88" s="503"/>
      <c r="M88" s="2"/>
      <c r="O88" s="11" t="s">
        <v>304</v>
      </c>
      <c r="P88" s="11" t="s">
        <v>305</v>
      </c>
    </row>
    <row r="89" spans="2:16" x14ac:dyDescent="0.25">
      <c r="B89" s="803"/>
      <c r="C89" s="804"/>
      <c r="D89" s="502"/>
      <c r="E89" s="502"/>
      <c r="F89" s="502"/>
      <c r="G89" s="502"/>
      <c r="H89" s="502"/>
      <c r="I89" s="502"/>
      <c r="J89" s="502"/>
      <c r="K89" s="502"/>
      <c r="L89" s="503"/>
      <c r="M89" s="2"/>
      <c r="O89" s="11"/>
    </row>
    <row r="90" spans="2:16" x14ac:dyDescent="0.25">
      <c r="B90" s="803"/>
      <c r="C90" s="804"/>
      <c r="D90" s="502"/>
      <c r="E90" s="502"/>
      <c r="F90" s="502"/>
      <c r="G90" s="502"/>
      <c r="H90" s="502"/>
      <c r="I90" s="502"/>
      <c r="J90" s="502"/>
      <c r="K90" s="502"/>
      <c r="L90" s="503"/>
      <c r="M90" s="2"/>
      <c r="O90" s="11"/>
    </row>
    <row r="91" spans="2:16" x14ac:dyDescent="0.25">
      <c r="B91" s="805" t="str">
        <f>IF(Intro!$G$21="English",$O$16,$P$16)</f>
        <v>Sélectionnez oui ou non</v>
      </c>
      <c r="C91" s="806"/>
      <c r="D91" s="502"/>
      <c r="E91" s="502"/>
      <c r="F91" s="502"/>
      <c r="G91" s="502"/>
      <c r="H91" s="502"/>
      <c r="I91" s="502"/>
      <c r="J91" s="502"/>
      <c r="K91" s="502"/>
      <c r="L91" s="503"/>
      <c r="M91" s="2"/>
      <c r="O91" s="11"/>
    </row>
    <row r="92" spans="2:16" x14ac:dyDescent="0.25">
      <c r="B92" s="807"/>
      <c r="C92" s="808"/>
      <c r="D92" s="502"/>
      <c r="E92" s="502"/>
      <c r="F92" s="502"/>
      <c r="G92" s="502"/>
      <c r="H92" s="502"/>
      <c r="I92" s="502"/>
      <c r="J92" s="502"/>
      <c r="K92" s="502"/>
      <c r="L92" s="503"/>
      <c r="M92" s="2"/>
      <c r="O92" s="11"/>
    </row>
    <row r="93" spans="2:16" x14ac:dyDescent="0.25">
      <c r="B93" s="809"/>
      <c r="C93" s="810"/>
      <c r="D93" s="502"/>
      <c r="E93" s="502"/>
      <c r="F93" s="502"/>
      <c r="G93" s="502"/>
      <c r="H93" s="502"/>
      <c r="I93" s="502"/>
      <c r="J93" s="502"/>
      <c r="K93" s="502"/>
      <c r="L93" s="503"/>
      <c r="M93" s="2"/>
      <c r="O93" s="11"/>
    </row>
    <row r="94" spans="2:16" x14ac:dyDescent="0.25">
      <c r="B94" s="811"/>
      <c r="C94" s="812"/>
      <c r="D94" s="502"/>
      <c r="E94" s="502"/>
      <c r="F94" s="502"/>
      <c r="G94" s="502"/>
      <c r="H94" s="502"/>
      <c r="I94" s="502"/>
      <c r="J94" s="502"/>
      <c r="K94" s="502"/>
      <c r="L94" s="503"/>
      <c r="M94" s="2"/>
      <c r="O94" s="11"/>
    </row>
    <row r="95" spans="2:16" x14ac:dyDescent="0.25">
      <c r="B95" s="811"/>
      <c r="C95" s="812"/>
      <c r="D95" s="502"/>
      <c r="E95" s="502"/>
      <c r="F95" s="502"/>
      <c r="G95" s="502"/>
      <c r="H95" s="502"/>
      <c r="I95" s="502"/>
      <c r="J95" s="502"/>
      <c r="K95" s="502"/>
      <c r="L95" s="503"/>
      <c r="M95" s="2"/>
      <c r="O95" s="11"/>
    </row>
    <row r="96" spans="2:16" x14ac:dyDescent="0.25">
      <c r="B96" s="811"/>
      <c r="C96" s="812"/>
      <c r="D96" s="502"/>
      <c r="E96" s="502"/>
      <c r="F96" s="502"/>
      <c r="G96" s="502"/>
      <c r="H96" s="502"/>
      <c r="I96" s="502"/>
      <c r="J96" s="502"/>
      <c r="K96" s="502"/>
      <c r="L96" s="503"/>
      <c r="M96" s="2"/>
      <c r="O96" s="11"/>
    </row>
    <row r="97" spans="2:16" x14ac:dyDescent="0.25">
      <c r="B97" s="805"/>
      <c r="C97" s="806"/>
      <c r="D97" s="502"/>
      <c r="E97" s="502"/>
      <c r="F97" s="502"/>
      <c r="G97" s="502"/>
      <c r="H97" s="502"/>
      <c r="I97" s="502"/>
      <c r="J97" s="502"/>
      <c r="K97" s="502"/>
      <c r="L97" s="503"/>
      <c r="M97" s="2"/>
      <c r="O97" s="11"/>
    </row>
    <row r="98" spans="2:16" x14ac:dyDescent="0.25">
      <c r="B98" s="801" t="str">
        <f>IF(Intro!$G$21="English",O98,P98)</f>
        <v>Les avantages sociaux</v>
      </c>
      <c r="C98" s="802"/>
      <c r="D98" s="502"/>
      <c r="E98" s="502"/>
      <c r="F98" s="502"/>
      <c r="G98" s="502"/>
      <c r="H98" s="502"/>
      <c r="I98" s="502"/>
      <c r="J98" s="502"/>
      <c r="K98" s="502"/>
      <c r="L98" s="503"/>
      <c r="M98" s="2"/>
      <c r="O98" s="11" t="s">
        <v>306</v>
      </c>
      <c r="P98" s="11" t="s">
        <v>307</v>
      </c>
    </row>
    <row r="99" spans="2:16" x14ac:dyDescent="0.25">
      <c r="B99" s="803"/>
      <c r="C99" s="804"/>
      <c r="D99" s="502"/>
      <c r="E99" s="502"/>
      <c r="F99" s="502"/>
      <c r="G99" s="502"/>
      <c r="H99" s="502"/>
      <c r="I99" s="502"/>
      <c r="J99" s="502"/>
      <c r="K99" s="502"/>
      <c r="L99" s="503"/>
      <c r="M99" s="2"/>
    </row>
    <row r="100" spans="2:16" x14ac:dyDescent="0.25">
      <c r="B100" s="803"/>
      <c r="C100" s="804"/>
      <c r="D100" s="502"/>
      <c r="E100" s="502"/>
      <c r="F100" s="502"/>
      <c r="G100" s="502"/>
      <c r="H100" s="502"/>
      <c r="I100" s="502"/>
      <c r="J100" s="502"/>
      <c r="K100" s="502"/>
      <c r="L100" s="503"/>
      <c r="M100" s="2"/>
    </row>
    <row r="101" spans="2:16" x14ac:dyDescent="0.25">
      <c r="B101" s="805" t="str">
        <f>IF(Intro!$G$21="English",$O$16,$P$16)</f>
        <v>Sélectionnez oui ou non</v>
      </c>
      <c r="C101" s="806"/>
      <c r="D101" s="502"/>
      <c r="E101" s="502"/>
      <c r="F101" s="502"/>
      <c r="G101" s="502"/>
      <c r="H101" s="502"/>
      <c r="I101" s="502"/>
      <c r="J101" s="502"/>
      <c r="K101" s="502"/>
      <c r="L101" s="503"/>
      <c r="M101" s="2"/>
      <c r="O101" s="11"/>
    </row>
    <row r="102" spans="2:16" x14ac:dyDescent="0.25">
      <c r="B102" s="807"/>
      <c r="C102" s="808"/>
      <c r="D102" s="502"/>
      <c r="E102" s="502"/>
      <c r="F102" s="502"/>
      <c r="G102" s="502"/>
      <c r="H102" s="502"/>
      <c r="I102" s="502"/>
      <c r="J102" s="502"/>
      <c r="K102" s="502"/>
      <c r="L102" s="503"/>
      <c r="M102" s="2"/>
      <c r="O102" s="11"/>
    </row>
    <row r="103" spans="2:16" x14ac:dyDescent="0.25">
      <c r="B103" s="809"/>
      <c r="C103" s="810"/>
      <c r="D103" s="502"/>
      <c r="E103" s="502"/>
      <c r="F103" s="502"/>
      <c r="G103" s="502"/>
      <c r="H103" s="502"/>
      <c r="I103" s="502"/>
      <c r="J103" s="502"/>
      <c r="K103" s="502"/>
      <c r="L103" s="503"/>
      <c r="M103" s="2"/>
      <c r="O103" s="11"/>
    </row>
    <row r="104" spans="2:16" x14ac:dyDescent="0.25">
      <c r="B104" s="811"/>
      <c r="C104" s="812"/>
      <c r="D104" s="502"/>
      <c r="E104" s="502"/>
      <c r="F104" s="502"/>
      <c r="G104" s="502"/>
      <c r="H104" s="502"/>
      <c r="I104" s="502"/>
      <c r="J104" s="502"/>
      <c r="K104" s="502"/>
      <c r="L104" s="503"/>
      <c r="M104" s="2"/>
      <c r="O104" s="11"/>
    </row>
    <row r="105" spans="2:16" x14ac:dyDescent="0.25">
      <c r="B105" s="811"/>
      <c r="C105" s="812"/>
      <c r="D105" s="502"/>
      <c r="E105" s="502"/>
      <c r="F105" s="502"/>
      <c r="G105" s="502"/>
      <c r="H105" s="502"/>
      <c r="I105" s="502"/>
      <c r="J105" s="502"/>
      <c r="K105" s="502"/>
      <c r="L105" s="503"/>
      <c r="M105" s="2"/>
      <c r="O105" s="11"/>
    </row>
    <row r="106" spans="2:16" x14ac:dyDescent="0.25">
      <c r="B106" s="811"/>
      <c r="C106" s="812"/>
      <c r="D106" s="502"/>
      <c r="E106" s="502"/>
      <c r="F106" s="502"/>
      <c r="G106" s="502"/>
      <c r="H106" s="502"/>
      <c r="I106" s="502"/>
      <c r="J106" s="502"/>
      <c r="K106" s="502"/>
      <c r="L106" s="503"/>
      <c r="M106" s="2"/>
      <c r="O106" s="11"/>
    </row>
    <row r="107" spans="2:16" x14ac:dyDescent="0.25">
      <c r="B107" s="805"/>
      <c r="C107" s="806"/>
      <c r="D107" s="502"/>
      <c r="E107" s="502"/>
      <c r="F107" s="502"/>
      <c r="G107" s="502"/>
      <c r="H107" s="502"/>
      <c r="I107" s="502"/>
      <c r="J107" s="502"/>
      <c r="K107" s="502"/>
      <c r="L107" s="503"/>
      <c r="M107" s="2"/>
      <c r="O107" s="11"/>
    </row>
    <row r="108" spans="2:16" x14ac:dyDescent="0.25">
      <c r="B108" s="801" t="str">
        <f>IF(Intro!$G$21="English",O108,P108)</f>
        <v>La formation et la sécurité des travailleurs.</v>
      </c>
      <c r="C108" s="802"/>
      <c r="D108" s="502"/>
      <c r="E108" s="502"/>
      <c r="F108" s="502"/>
      <c r="G108" s="502"/>
      <c r="H108" s="502"/>
      <c r="I108" s="502"/>
      <c r="J108" s="502"/>
      <c r="K108" s="502"/>
      <c r="L108" s="503"/>
      <c r="M108" s="2"/>
      <c r="O108" s="11" t="s">
        <v>308</v>
      </c>
      <c r="P108" s="11" t="s">
        <v>309</v>
      </c>
    </row>
    <row r="109" spans="2:16" x14ac:dyDescent="0.25">
      <c r="B109" s="803"/>
      <c r="C109" s="804"/>
      <c r="D109" s="502"/>
      <c r="E109" s="502"/>
      <c r="F109" s="502"/>
      <c r="G109" s="502"/>
      <c r="H109" s="502"/>
      <c r="I109" s="502"/>
      <c r="J109" s="502"/>
      <c r="K109" s="502"/>
      <c r="L109" s="503"/>
      <c r="M109" s="2"/>
      <c r="O109" s="11"/>
      <c r="P109" s="11"/>
    </row>
    <row r="110" spans="2:16" x14ac:dyDescent="0.25">
      <c r="B110" s="803"/>
      <c r="C110" s="804"/>
      <c r="D110" s="502"/>
      <c r="E110" s="502"/>
      <c r="F110" s="502"/>
      <c r="G110" s="502"/>
      <c r="H110" s="502"/>
      <c r="I110" s="502"/>
      <c r="J110" s="502"/>
      <c r="K110" s="502"/>
      <c r="L110" s="503"/>
      <c r="M110" s="2"/>
      <c r="O110" s="11"/>
    </row>
    <row r="111" spans="2:16" x14ac:dyDescent="0.25">
      <c r="B111" s="805" t="str">
        <f>IF(Intro!$G$21="English",$O$16,$P$16)</f>
        <v>Sélectionnez oui ou non</v>
      </c>
      <c r="C111" s="806"/>
      <c r="D111" s="502"/>
      <c r="E111" s="502"/>
      <c r="F111" s="502"/>
      <c r="G111" s="502"/>
      <c r="H111" s="502"/>
      <c r="I111" s="502"/>
      <c r="J111" s="502"/>
      <c r="K111" s="502"/>
      <c r="L111" s="503"/>
      <c r="M111" s="2"/>
      <c r="O111" s="11"/>
    </row>
    <row r="112" spans="2:16" x14ac:dyDescent="0.25">
      <c r="B112" s="807"/>
      <c r="C112" s="808"/>
      <c r="D112" s="502"/>
      <c r="E112" s="502"/>
      <c r="F112" s="502"/>
      <c r="G112" s="502"/>
      <c r="H112" s="502"/>
      <c r="I112" s="502"/>
      <c r="J112" s="502"/>
      <c r="K112" s="502"/>
      <c r="L112" s="503"/>
      <c r="M112" s="2"/>
      <c r="O112" s="11"/>
    </row>
    <row r="113" spans="2:16" x14ac:dyDescent="0.25">
      <c r="B113" s="809"/>
      <c r="C113" s="810"/>
      <c r="D113" s="502"/>
      <c r="E113" s="502"/>
      <c r="F113" s="502"/>
      <c r="G113" s="502"/>
      <c r="H113" s="502"/>
      <c r="I113" s="502"/>
      <c r="J113" s="502"/>
      <c r="K113" s="502"/>
      <c r="L113" s="503"/>
      <c r="M113" s="2"/>
      <c r="O113" s="11"/>
    </row>
    <row r="114" spans="2:16" x14ac:dyDescent="0.25">
      <c r="B114" s="811"/>
      <c r="C114" s="812"/>
      <c r="D114" s="502"/>
      <c r="E114" s="502"/>
      <c r="F114" s="502"/>
      <c r="G114" s="502"/>
      <c r="H114" s="502"/>
      <c r="I114" s="502"/>
      <c r="J114" s="502"/>
      <c r="K114" s="502"/>
      <c r="L114" s="503"/>
      <c r="M114" s="2"/>
      <c r="O114" s="11"/>
    </row>
    <row r="115" spans="2:16" x14ac:dyDescent="0.25">
      <c r="B115" s="811"/>
      <c r="C115" s="812"/>
      <c r="D115" s="502"/>
      <c r="E115" s="502"/>
      <c r="F115" s="502"/>
      <c r="G115" s="502"/>
      <c r="H115" s="502"/>
      <c r="I115" s="502"/>
      <c r="J115" s="502"/>
      <c r="K115" s="502"/>
      <c r="L115" s="503"/>
      <c r="M115" s="2"/>
      <c r="O115" s="11"/>
    </row>
    <row r="116" spans="2:16" x14ac:dyDescent="0.25">
      <c r="B116" s="811"/>
      <c r="C116" s="812"/>
      <c r="D116" s="502"/>
      <c r="E116" s="502"/>
      <c r="F116" s="502"/>
      <c r="G116" s="502"/>
      <c r="H116" s="502"/>
      <c r="I116" s="502"/>
      <c r="J116" s="502"/>
      <c r="K116" s="502"/>
      <c r="L116" s="503"/>
      <c r="M116" s="2"/>
      <c r="O116" s="11"/>
    </row>
    <row r="117" spans="2:16" x14ac:dyDescent="0.25">
      <c r="B117" s="805"/>
      <c r="C117" s="806"/>
      <c r="D117" s="502"/>
      <c r="E117" s="502"/>
      <c r="F117" s="502"/>
      <c r="G117" s="502"/>
      <c r="H117" s="502"/>
      <c r="I117" s="502"/>
      <c r="J117" s="502"/>
      <c r="K117" s="502"/>
      <c r="L117" s="503"/>
      <c r="M117" s="2"/>
      <c r="O117" s="11"/>
    </row>
    <row r="118" spans="2:16" x14ac:dyDescent="0.25">
      <c r="B118" s="801" t="str">
        <f>IF(Intro!$G$21="English",O118,P118)</f>
        <v xml:space="preserve">Autres facteurs pertinents </v>
      </c>
      <c r="C118" s="802"/>
      <c r="D118" s="502"/>
      <c r="E118" s="502"/>
      <c r="F118" s="502"/>
      <c r="G118" s="502"/>
      <c r="H118" s="502"/>
      <c r="I118" s="502"/>
      <c r="J118" s="502"/>
      <c r="K118" s="502"/>
      <c r="L118" s="503"/>
      <c r="M118" s="2"/>
      <c r="O118" s="11" t="s">
        <v>94</v>
      </c>
      <c r="P118" s="11" t="s">
        <v>95</v>
      </c>
    </row>
    <row r="119" spans="2:16" x14ac:dyDescent="0.25">
      <c r="B119" s="803"/>
      <c r="C119" s="804"/>
      <c r="D119" s="502"/>
      <c r="E119" s="502"/>
      <c r="F119" s="502"/>
      <c r="G119" s="502"/>
      <c r="H119" s="502"/>
      <c r="I119" s="502"/>
      <c r="J119" s="502"/>
      <c r="K119" s="502"/>
      <c r="L119" s="503"/>
      <c r="M119" s="2"/>
    </row>
    <row r="120" spans="2:16" x14ac:dyDescent="0.25">
      <c r="B120" s="803"/>
      <c r="C120" s="804"/>
      <c r="D120" s="502"/>
      <c r="E120" s="502"/>
      <c r="F120" s="502"/>
      <c r="G120" s="502"/>
      <c r="H120" s="502"/>
      <c r="I120" s="502"/>
      <c r="J120" s="502"/>
      <c r="K120" s="502"/>
      <c r="L120" s="503"/>
      <c r="M120" s="2"/>
      <c r="O120" s="11"/>
    </row>
    <row r="121" spans="2:16" x14ac:dyDescent="0.25">
      <c r="B121" s="805" t="str">
        <f>IF(Intro!$G$21="English",$O$16,$P$16)</f>
        <v>Sélectionnez oui ou non</v>
      </c>
      <c r="C121" s="806"/>
      <c r="D121" s="502"/>
      <c r="E121" s="502"/>
      <c r="F121" s="502"/>
      <c r="G121" s="502"/>
      <c r="H121" s="502"/>
      <c r="I121" s="502"/>
      <c r="J121" s="502"/>
      <c r="K121" s="502"/>
      <c r="L121" s="503"/>
      <c r="M121" s="2"/>
      <c r="O121" s="11"/>
    </row>
    <row r="122" spans="2:16" x14ac:dyDescent="0.25">
      <c r="B122" s="807"/>
      <c r="C122" s="808"/>
      <c r="D122" s="502"/>
      <c r="E122" s="502"/>
      <c r="F122" s="502"/>
      <c r="G122" s="502"/>
      <c r="H122" s="502"/>
      <c r="I122" s="502"/>
      <c r="J122" s="502"/>
      <c r="K122" s="502"/>
      <c r="L122" s="503"/>
      <c r="M122" s="2"/>
      <c r="O122" s="11"/>
    </row>
    <row r="123" spans="2:16" x14ac:dyDescent="0.25">
      <c r="B123" s="809"/>
      <c r="C123" s="810"/>
      <c r="D123" s="502"/>
      <c r="E123" s="502"/>
      <c r="F123" s="502"/>
      <c r="G123" s="502"/>
      <c r="H123" s="502"/>
      <c r="I123" s="502"/>
      <c r="J123" s="502"/>
      <c r="K123" s="502"/>
      <c r="L123" s="503"/>
      <c r="M123" s="2"/>
      <c r="O123" s="11"/>
    </row>
    <row r="124" spans="2:16" x14ac:dyDescent="0.25">
      <c r="B124" s="811"/>
      <c r="C124" s="812"/>
      <c r="D124" s="502"/>
      <c r="E124" s="502"/>
      <c r="F124" s="502"/>
      <c r="G124" s="502"/>
      <c r="H124" s="502"/>
      <c r="I124" s="502"/>
      <c r="J124" s="502"/>
      <c r="K124" s="502"/>
      <c r="L124" s="503"/>
      <c r="M124" s="2"/>
      <c r="O124" s="11"/>
    </row>
    <row r="125" spans="2:16" x14ac:dyDescent="0.25">
      <c r="B125" s="811"/>
      <c r="C125" s="812"/>
      <c r="D125" s="502"/>
      <c r="E125" s="502"/>
      <c r="F125" s="502"/>
      <c r="G125" s="502"/>
      <c r="H125" s="502"/>
      <c r="I125" s="502"/>
      <c r="J125" s="502"/>
      <c r="K125" s="502"/>
      <c r="L125" s="503"/>
      <c r="M125" s="2"/>
      <c r="O125" s="11"/>
    </row>
    <row r="126" spans="2:16" x14ac:dyDescent="0.25">
      <c r="B126" s="811"/>
      <c r="C126" s="812"/>
      <c r="D126" s="502"/>
      <c r="E126" s="502"/>
      <c r="F126" s="502"/>
      <c r="G126" s="502"/>
      <c r="H126" s="502"/>
      <c r="I126" s="502"/>
      <c r="J126" s="502"/>
      <c r="K126" s="502"/>
      <c r="L126" s="503"/>
      <c r="M126" s="2"/>
      <c r="O126" s="11"/>
    </row>
    <row r="127" spans="2:16" x14ac:dyDescent="0.25">
      <c r="B127" s="805"/>
      <c r="C127" s="806"/>
      <c r="D127" s="502"/>
      <c r="E127" s="502"/>
      <c r="F127" s="502"/>
      <c r="G127" s="502"/>
      <c r="H127" s="502"/>
      <c r="I127" s="502"/>
      <c r="J127" s="502"/>
      <c r="K127" s="502"/>
      <c r="L127" s="503"/>
      <c r="M127" s="2"/>
      <c r="O127" s="11"/>
    </row>
    <row r="128" spans="2:16" x14ac:dyDescent="0.25">
      <c r="B128" s="176"/>
      <c r="C128" s="177"/>
      <c r="D128" s="177"/>
      <c r="E128" s="177"/>
      <c r="F128" s="177"/>
      <c r="G128" s="177"/>
      <c r="H128" s="177"/>
      <c r="I128" s="177"/>
      <c r="J128" s="177"/>
      <c r="K128" s="177"/>
      <c r="L128" s="178"/>
      <c r="M128" s="2"/>
    </row>
    <row r="129" spans="1:16" x14ac:dyDescent="0.25">
      <c r="B129" s="453" t="str">
        <f>IF(Intro!$G$21="English",O129,P129)</f>
        <v xml:space="preserve"> ALLÉGATIONS DE DOMMAGE</v>
      </c>
      <c r="C129" s="454"/>
      <c r="D129" s="454"/>
      <c r="E129" s="454"/>
      <c r="F129" s="454"/>
      <c r="G129" s="454"/>
      <c r="H129" s="454"/>
      <c r="I129" s="454"/>
      <c r="J129" s="454"/>
      <c r="K129" s="454"/>
      <c r="L129" s="455"/>
      <c r="M129" s="2"/>
      <c r="O129" s="2" t="s">
        <v>96</v>
      </c>
      <c r="P129" s="2" t="s">
        <v>97</v>
      </c>
    </row>
    <row r="130" spans="1:16" s="3" customFormat="1" x14ac:dyDescent="0.25">
      <c r="A130" s="12"/>
      <c r="B130" s="585" t="s">
        <v>21</v>
      </c>
      <c r="C130" s="586"/>
      <c r="D130" s="586"/>
      <c r="E130" s="586"/>
      <c r="F130" s="586"/>
      <c r="G130" s="586"/>
      <c r="H130" s="586"/>
      <c r="I130" s="586"/>
      <c r="J130" s="586"/>
      <c r="K130" s="586"/>
      <c r="L130" s="587"/>
      <c r="M130" s="168"/>
      <c r="O130" s="2"/>
    </row>
    <row r="131" spans="1:16" x14ac:dyDescent="0.25">
      <c r="B131" s="170"/>
      <c r="C131" s="171"/>
      <c r="D131" s="171"/>
      <c r="E131" s="171"/>
      <c r="F131" s="171"/>
      <c r="G131" s="171"/>
      <c r="H131" s="171"/>
      <c r="I131" s="171"/>
      <c r="J131" s="171"/>
      <c r="K131" s="171"/>
      <c r="L131" s="172"/>
      <c r="M131" s="2"/>
    </row>
    <row r="132" spans="1:16" x14ac:dyDescent="0.25">
      <c r="B132" s="456" t="str">
        <f>IF(Intro!$G$21="English",O132,P132)</f>
        <v>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v>
      </c>
      <c r="C132" s="457"/>
      <c r="D132" s="457"/>
      <c r="E132" s="457"/>
      <c r="F132" s="457"/>
      <c r="G132" s="457"/>
      <c r="H132" s="457"/>
      <c r="I132" s="457"/>
      <c r="J132" s="457"/>
      <c r="K132" s="457"/>
      <c r="L132" s="458"/>
      <c r="M132" s="2"/>
      <c r="O132" s="2" t="s">
        <v>259</v>
      </c>
      <c r="P132" s="2" t="s">
        <v>260</v>
      </c>
    </row>
    <row r="133" spans="1:16" x14ac:dyDescent="0.25">
      <c r="B133" s="456"/>
      <c r="C133" s="457"/>
      <c r="D133" s="457"/>
      <c r="E133" s="457"/>
      <c r="F133" s="457"/>
      <c r="G133" s="457"/>
      <c r="H133" s="457"/>
      <c r="I133" s="457"/>
      <c r="J133" s="457"/>
      <c r="K133" s="457"/>
      <c r="L133" s="458"/>
      <c r="M133" s="2"/>
    </row>
    <row r="134" spans="1:16" x14ac:dyDescent="0.25">
      <c r="B134" s="456"/>
      <c r="C134" s="457"/>
      <c r="D134" s="457"/>
      <c r="E134" s="457"/>
      <c r="F134" s="457"/>
      <c r="G134" s="457"/>
      <c r="H134" s="457"/>
      <c r="I134" s="457"/>
      <c r="J134" s="457"/>
      <c r="K134" s="457"/>
      <c r="L134" s="458"/>
      <c r="M134" s="2"/>
    </row>
    <row r="135" spans="1:16" x14ac:dyDescent="0.25">
      <c r="B135" s="159"/>
      <c r="C135" s="160"/>
      <c r="D135" s="160"/>
      <c r="E135" s="160"/>
      <c r="F135" s="160"/>
      <c r="G135" s="160"/>
      <c r="H135" s="160"/>
      <c r="I135" s="160"/>
      <c r="J135" s="160"/>
      <c r="K135" s="160"/>
      <c r="L135" s="161"/>
      <c r="M135" s="2"/>
    </row>
    <row r="136" spans="1:16" x14ac:dyDescent="0.25">
      <c r="B136" s="456" t="str">
        <f>IF(Intro!$G$21="English",O136,P136)</f>
        <v>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v>
      </c>
      <c r="C136" s="457"/>
      <c r="D136" s="457"/>
      <c r="E136" s="457"/>
      <c r="F136" s="457"/>
      <c r="G136" s="457"/>
      <c r="H136" s="457"/>
      <c r="I136" s="457"/>
      <c r="J136" s="457"/>
      <c r="K136" s="457"/>
      <c r="L136" s="458"/>
      <c r="M136" s="2"/>
      <c r="O136" s="2" t="s">
        <v>429</v>
      </c>
      <c r="P136" s="2" t="s">
        <v>601</v>
      </c>
    </row>
    <row r="137" spans="1:16" x14ac:dyDescent="0.25">
      <c r="B137" s="456"/>
      <c r="C137" s="457"/>
      <c r="D137" s="457"/>
      <c r="E137" s="457"/>
      <c r="F137" s="457"/>
      <c r="G137" s="457"/>
      <c r="H137" s="457"/>
      <c r="I137" s="457"/>
      <c r="J137" s="457"/>
      <c r="K137" s="457"/>
      <c r="L137" s="458"/>
      <c r="M137" s="2"/>
    </row>
    <row r="138" spans="1:16" x14ac:dyDescent="0.25">
      <c r="B138" s="159"/>
      <c r="C138" s="160"/>
      <c r="D138" s="160"/>
      <c r="E138" s="160"/>
      <c r="F138" s="160"/>
      <c r="G138" s="160"/>
      <c r="H138" s="160"/>
      <c r="I138" s="160"/>
      <c r="J138" s="160"/>
      <c r="K138" s="160"/>
      <c r="L138" s="161"/>
      <c r="M138" s="2"/>
    </row>
    <row r="139" spans="1:16" x14ac:dyDescent="0.25">
      <c r="B139" s="456" t="str">
        <f>IF(Intro!$G$21="English",O139,P139)</f>
        <v>Ces allégations doivent être détaillées, concrètes, fondées et vérifiables. Toutefois, l’échantillon choisi doit consister en un maximum de 10 exemples raisonnables de la nature du prétendu dommage.</v>
      </c>
      <c r="C139" s="457"/>
      <c r="D139" s="457"/>
      <c r="E139" s="457"/>
      <c r="F139" s="457"/>
      <c r="G139" s="457"/>
      <c r="H139" s="457"/>
      <c r="I139" s="457"/>
      <c r="J139" s="457"/>
      <c r="K139" s="457"/>
      <c r="L139" s="458"/>
      <c r="M139" s="2"/>
      <c r="O139" s="11" t="s">
        <v>389</v>
      </c>
      <c r="P139" s="2" t="s">
        <v>390</v>
      </c>
    </row>
    <row r="140" spans="1:16" x14ac:dyDescent="0.25">
      <c r="B140" s="456"/>
      <c r="C140" s="457"/>
      <c r="D140" s="457"/>
      <c r="E140" s="457"/>
      <c r="F140" s="457"/>
      <c r="G140" s="457"/>
      <c r="H140" s="457"/>
      <c r="I140" s="457"/>
      <c r="J140" s="457"/>
      <c r="K140" s="457"/>
      <c r="L140" s="458"/>
      <c r="M140" s="2"/>
      <c r="O140" s="11"/>
    </row>
    <row r="141" spans="1:16" x14ac:dyDescent="0.25">
      <c r="B141" s="159"/>
      <c r="C141" s="160"/>
      <c r="D141" s="160"/>
      <c r="E141" s="160"/>
      <c r="F141" s="160"/>
      <c r="G141" s="160"/>
      <c r="H141" s="160"/>
      <c r="I141" s="160"/>
      <c r="J141" s="160"/>
      <c r="K141" s="160"/>
      <c r="L141" s="161"/>
      <c r="M141" s="2"/>
      <c r="O141" s="11"/>
    </row>
    <row r="142" spans="1:16" x14ac:dyDescent="0.25">
      <c r="B142" s="456" t="str">
        <f>IF(Intro!$G$21="English",O142,P142)</f>
        <v>NOTE :</v>
      </c>
      <c r="C142" s="457"/>
      <c r="D142" s="457"/>
      <c r="E142" s="457"/>
      <c r="F142" s="457"/>
      <c r="G142" s="457"/>
      <c r="H142" s="457"/>
      <c r="I142" s="457"/>
      <c r="J142" s="457"/>
      <c r="K142" s="457"/>
      <c r="L142" s="458"/>
      <c r="M142" s="2"/>
      <c r="O142" s="11" t="s">
        <v>98</v>
      </c>
      <c r="P142" s="2" t="s">
        <v>99</v>
      </c>
    </row>
    <row r="143" spans="1:16" x14ac:dyDescent="0.25">
      <c r="B143" s="456" t="str">
        <f>IF(Intro!$G$21="English",O143,P143)</f>
        <v>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v>
      </c>
      <c r="C143" s="457"/>
      <c r="D143" s="457"/>
      <c r="E143" s="457"/>
      <c r="F143" s="457"/>
      <c r="G143" s="457"/>
      <c r="H143" s="457"/>
      <c r="I143" s="457"/>
      <c r="J143" s="457"/>
      <c r="K143" s="457"/>
      <c r="L143" s="458"/>
      <c r="M143" s="2"/>
      <c r="O143" s="11" t="s">
        <v>364</v>
      </c>
      <c r="P143" s="2" t="s">
        <v>365</v>
      </c>
    </row>
    <row r="144" spans="1:16" x14ac:dyDescent="0.25">
      <c r="B144" s="456"/>
      <c r="C144" s="457"/>
      <c r="D144" s="457"/>
      <c r="E144" s="457"/>
      <c r="F144" s="457"/>
      <c r="G144" s="457"/>
      <c r="H144" s="457"/>
      <c r="I144" s="457"/>
      <c r="J144" s="457"/>
      <c r="K144" s="457"/>
      <c r="L144" s="458"/>
      <c r="M144" s="2"/>
      <c r="O144" s="11"/>
    </row>
    <row r="145" spans="1:16" x14ac:dyDescent="0.25">
      <c r="B145" s="456"/>
      <c r="C145" s="457"/>
      <c r="D145" s="457"/>
      <c r="E145" s="457"/>
      <c r="F145" s="457"/>
      <c r="G145" s="457"/>
      <c r="H145" s="457"/>
      <c r="I145" s="457"/>
      <c r="J145" s="457"/>
      <c r="K145" s="457"/>
      <c r="L145" s="458"/>
      <c r="M145" s="2"/>
      <c r="O145" s="11"/>
    </row>
    <row r="146" spans="1:16" x14ac:dyDescent="0.25">
      <c r="B146" s="159"/>
      <c r="C146" s="160"/>
      <c r="D146" s="160"/>
      <c r="E146" s="160"/>
      <c r="F146" s="160"/>
      <c r="G146" s="160"/>
      <c r="H146" s="160"/>
      <c r="I146" s="160"/>
      <c r="J146" s="160"/>
      <c r="K146" s="160"/>
      <c r="L146" s="161"/>
      <c r="M146" s="2"/>
      <c r="O146" s="11"/>
    </row>
    <row r="147" spans="1:16" x14ac:dyDescent="0.25">
      <c r="B147" s="456" t="str">
        <f>IF(Intro!$G$21="English",O147,P147)</f>
        <v>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v>
      </c>
      <c r="C147" s="457"/>
      <c r="D147" s="457"/>
      <c r="E147" s="457"/>
      <c r="F147" s="457"/>
      <c r="G147" s="457"/>
      <c r="H147" s="457"/>
      <c r="I147" s="457"/>
      <c r="J147" s="457"/>
      <c r="K147" s="457"/>
      <c r="L147" s="458"/>
      <c r="M147" s="2"/>
      <c r="O147" s="11" t="s">
        <v>262</v>
      </c>
      <c r="P147" s="2" t="s">
        <v>110</v>
      </c>
    </row>
    <row r="148" spans="1:16" x14ac:dyDescent="0.25">
      <c r="B148" s="456"/>
      <c r="C148" s="457"/>
      <c r="D148" s="457"/>
      <c r="E148" s="457"/>
      <c r="F148" s="457"/>
      <c r="G148" s="457"/>
      <c r="H148" s="457"/>
      <c r="I148" s="457"/>
      <c r="J148" s="457"/>
      <c r="K148" s="457"/>
      <c r="L148" s="458"/>
      <c r="M148" s="2"/>
      <c r="O148" s="11"/>
    </row>
    <row r="149" spans="1:16" x14ac:dyDescent="0.25">
      <c r="B149" s="456"/>
      <c r="C149" s="457"/>
      <c r="D149" s="457"/>
      <c r="E149" s="457"/>
      <c r="F149" s="457"/>
      <c r="G149" s="457"/>
      <c r="H149" s="457"/>
      <c r="I149" s="457"/>
      <c r="J149" s="457"/>
      <c r="K149" s="457"/>
      <c r="L149" s="458"/>
      <c r="M149" s="2"/>
      <c r="O149" s="11"/>
    </row>
    <row r="150" spans="1:16" x14ac:dyDescent="0.25">
      <c r="B150" s="456"/>
      <c r="C150" s="457"/>
      <c r="D150" s="457"/>
      <c r="E150" s="457"/>
      <c r="F150" s="457"/>
      <c r="G150" s="457"/>
      <c r="H150" s="457"/>
      <c r="I150" s="457"/>
      <c r="J150" s="457"/>
      <c r="K150" s="457"/>
      <c r="L150" s="458"/>
      <c r="M150" s="2"/>
      <c r="O150" s="11"/>
    </row>
    <row r="151" spans="1:16" x14ac:dyDescent="0.25">
      <c r="B151" s="159"/>
      <c r="C151" s="160"/>
      <c r="D151" s="26"/>
      <c r="E151" s="26"/>
      <c r="F151" s="26"/>
      <c r="G151" s="26"/>
      <c r="H151" s="26"/>
      <c r="I151" s="26"/>
      <c r="J151" s="26"/>
      <c r="K151" s="26"/>
      <c r="L151" s="27"/>
      <c r="M151" s="2"/>
      <c r="O151" s="11"/>
    </row>
    <row r="152" spans="1:16" x14ac:dyDescent="0.25">
      <c r="B152" s="219" t="str">
        <f>IF(Intro!$G$21="English",O152,P152)</f>
        <v>Allegation</v>
      </c>
      <c r="C152" s="827">
        <v>1</v>
      </c>
      <c r="D152" s="828"/>
      <c r="E152" s="827">
        <v>2</v>
      </c>
      <c r="F152" s="828"/>
      <c r="G152" s="827">
        <v>3</v>
      </c>
      <c r="H152" s="828"/>
      <c r="I152" s="827">
        <v>4</v>
      </c>
      <c r="J152" s="828"/>
      <c r="K152" s="827">
        <v>5</v>
      </c>
      <c r="L152" s="829"/>
      <c r="M152" s="2"/>
      <c r="O152" s="11" t="s">
        <v>261</v>
      </c>
      <c r="P152" s="2" t="s">
        <v>261</v>
      </c>
    </row>
    <row r="153" spans="1:16" s="3" customFormat="1" x14ac:dyDescent="0.25">
      <c r="A153" s="18"/>
      <c r="B153" s="813" t="str">
        <f>IF(Intro!$G$21="English",O153,P153)</f>
        <v>Renseignements généraux</v>
      </c>
      <c r="C153" s="666"/>
      <c r="D153" s="814"/>
      <c r="E153" s="814"/>
      <c r="F153" s="814"/>
      <c r="G153" s="814"/>
      <c r="H153" s="814"/>
      <c r="I153" s="814"/>
      <c r="J153" s="814"/>
      <c r="K153" s="814"/>
      <c r="L153" s="815"/>
      <c r="O153" s="4" t="s">
        <v>263</v>
      </c>
      <c r="P153" s="3" t="s">
        <v>264</v>
      </c>
    </row>
    <row r="154" spans="1:16" x14ac:dyDescent="0.25">
      <c r="B154" s="478" t="str">
        <f>IF(Intro!$G$21="English",O154,P154)</f>
        <v>Nom du client (LD)</v>
      </c>
      <c r="C154" s="513"/>
      <c r="D154" s="816"/>
      <c r="E154" s="513"/>
      <c r="F154" s="816"/>
      <c r="G154" s="513"/>
      <c r="H154" s="816"/>
      <c r="I154" s="513"/>
      <c r="J154" s="816"/>
      <c r="K154" s="513"/>
      <c r="L154" s="515"/>
      <c r="M154" s="2"/>
      <c r="O154" s="2" t="s">
        <v>265</v>
      </c>
      <c r="P154" s="2" t="s">
        <v>266</v>
      </c>
    </row>
    <row r="155" spans="1:16" x14ac:dyDescent="0.25">
      <c r="B155" s="482"/>
      <c r="C155" s="516"/>
      <c r="D155" s="817"/>
      <c r="E155" s="516"/>
      <c r="F155" s="817"/>
      <c r="G155" s="516"/>
      <c r="H155" s="817"/>
      <c r="I155" s="516"/>
      <c r="J155" s="817"/>
      <c r="K155" s="516"/>
      <c r="L155" s="518"/>
      <c r="M155" s="2"/>
    </row>
    <row r="156" spans="1:16" x14ac:dyDescent="0.25">
      <c r="B156" s="478" t="str">
        <f>IF(Intro!$G$21="English",O156,P156)</f>
        <v>Adresse (LD)</v>
      </c>
      <c r="C156" s="513"/>
      <c r="D156" s="816"/>
      <c r="E156" s="513"/>
      <c r="F156" s="816"/>
      <c r="G156" s="513"/>
      <c r="H156" s="816"/>
      <c r="I156" s="513"/>
      <c r="J156" s="816"/>
      <c r="K156" s="513"/>
      <c r="L156" s="515"/>
      <c r="M156" s="2"/>
      <c r="O156" s="2" t="s">
        <v>267</v>
      </c>
      <c r="P156" s="2" t="s">
        <v>268</v>
      </c>
    </row>
    <row r="157" spans="1:16" x14ac:dyDescent="0.25">
      <c r="B157" s="482"/>
      <c r="C157" s="516"/>
      <c r="D157" s="817"/>
      <c r="E157" s="516"/>
      <c r="F157" s="817"/>
      <c r="G157" s="516"/>
      <c r="H157" s="817"/>
      <c r="I157" s="516"/>
      <c r="J157" s="817"/>
      <c r="K157" s="516"/>
      <c r="L157" s="518"/>
      <c r="M157" s="2"/>
    </row>
    <row r="158" spans="1:16" x14ac:dyDescent="0.25">
      <c r="B158" s="478" t="str">
        <f>IF(Intro!$G$21="English",O158,P158)</f>
        <v>Niveau commercial (LD)</v>
      </c>
      <c r="C158" s="513"/>
      <c r="D158" s="816"/>
      <c r="E158" s="513"/>
      <c r="F158" s="816"/>
      <c r="G158" s="513"/>
      <c r="H158" s="816"/>
      <c r="I158" s="513"/>
      <c r="J158" s="816"/>
      <c r="K158" s="513"/>
      <c r="L158" s="515"/>
      <c r="M158" s="2"/>
      <c r="O158" s="2" t="s">
        <v>269</v>
      </c>
      <c r="P158" s="2" t="s">
        <v>602</v>
      </c>
    </row>
    <row r="159" spans="1:16" x14ac:dyDescent="0.25">
      <c r="B159" s="482"/>
      <c r="C159" s="516"/>
      <c r="D159" s="817"/>
      <c r="E159" s="516"/>
      <c r="F159" s="817"/>
      <c r="G159" s="516"/>
      <c r="H159" s="817"/>
      <c r="I159" s="516"/>
      <c r="J159" s="817"/>
      <c r="K159" s="516"/>
      <c r="L159" s="518"/>
      <c r="M159" s="2"/>
    </row>
    <row r="160" spans="1:16" x14ac:dyDescent="0.25">
      <c r="B160" s="478" t="str">
        <f>IF(Intro!$G$21="English",O160,P160)</f>
        <v>Nature du dommage allégué (P)</v>
      </c>
      <c r="C160" s="513"/>
      <c r="D160" s="816"/>
      <c r="E160" s="513"/>
      <c r="F160" s="816"/>
      <c r="G160" s="513"/>
      <c r="H160" s="816"/>
      <c r="I160" s="513"/>
      <c r="J160" s="816"/>
      <c r="K160" s="513"/>
      <c r="L160" s="515"/>
      <c r="M160" s="2"/>
      <c r="O160" s="2" t="s">
        <v>142</v>
      </c>
      <c r="P160" s="2" t="s">
        <v>143</v>
      </c>
    </row>
    <row r="161" spans="1:19" x14ac:dyDescent="0.25">
      <c r="B161" s="480"/>
      <c r="C161" s="818"/>
      <c r="D161" s="819"/>
      <c r="E161" s="818"/>
      <c r="F161" s="819"/>
      <c r="G161" s="818"/>
      <c r="H161" s="819"/>
      <c r="I161" s="818"/>
      <c r="J161" s="819"/>
      <c r="K161" s="818"/>
      <c r="L161" s="820"/>
      <c r="M161" s="2"/>
    </row>
    <row r="162" spans="1:19" x14ac:dyDescent="0.25">
      <c r="B162" s="482"/>
      <c r="C162" s="516"/>
      <c r="D162" s="817"/>
      <c r="E162" s="516"/>
      <c r="F162" s="817"/>
      <c r="G162" s="516"/>
      <c r="H162" s="817"/>
      <c r="I162" s="516"/>
      <c r="J162" s="817"/>
      <c r="K162" s="516"/>
      <c r="L162" s="518"/>
      <c r="M162" s="2"/>
    </row>
    <row r="163" spans="1:19" s="3" customFormat="1" x14ac:dyDescent="0.25">
      <c r="A163" s="12"/>
      <c r="B163" s="813" t="str">
        <f>IF(Intro!$G$21="English",O163,P163)</f>
        <v>Offre du producteur national</v>
      </c>
      <c r="C163" s="666"/>
      <c r="D163" s="814"/>
      <c r="E163" s="814"/>
      <c r="F163" s="814"/>
      <c r="G163" s="814"/>
      <c r="H163" s="814"/>
      <c r="I163" s="814"/>
      <c r="J163" s="814"/>
      <c r="K163" s="814"/>
      <c r="L163" s="815"/>
      <c r="O163" s="4" t="s">
        <v>270</v>
      </c>
      <c r="P163" s="4" t="s">
        <v>271</v>
      </c>
      <c r="Q163" s="4"/>
      <c r="R163" s="4"/>
      <c r="S163" s="4"/>
    </row>
    <row r="164" spans="1:19" x14ac:dyDescent="0.25">
      <c r="B164" s="478" t="str">
        <f>IF(Intro!$G$21="English",O164,P164)</f>
        <v>Description du produit (P)</v>
      </c>
      <c r="C164" s="513"/>
      <c r="D164" s="816"/>
      <c r="E164" s="513"/>
      <c r="F164" s="816"/>
      <c r="G164" s="513"/>
      <c r="H164" s="816"/>
      <c r="I164" s="513"/>
      <c r="J164" s="816"/>
      <c r="K164" s="513"/>
      <c r="L164" s="515"/>
      <c r="M164" s="2"/>
      <c r="O164" s="2" t="s">
        <v>144</v>
      </c>
      <c r="P164" s="2" t="s">
        <v>145</v>
      </c>
    </row>
    <row r="165" spans="1:19" x14ac:dyDescent="0.25">
      <c r="B165" s="480"/>
      <c r="C165" s="818"/>
      <c r="D165" s="819"/>
      <c r="E165" s="818"/>
      <c r="F165" s="819"/>
      <c r="G165" s="818"/>
      <c r="H165" s="819"/>
      <c r="I165" s="818"/>
      <c r="J165" s="819"/>
      <c r="K165" s="818"/>
      <c r="L165" s="820"/>
      <c r="M165" s="2"/>
    </row>
    <row r="166" spans="1:19" x14ac:dyDescent="0.25">
      <c r="B166" s="480"/>
      <c r="C166" s="818"/>
      <c r="D166" s="819"/>
      <c r="E166" s="818"/>
      <c r="F166" s="819"/>
      <c r="G166" s="818"/>
      <c r="H166" s="819"/>
      <c r="I166" s="818"/>
      <c r="J166" s="819"/>
      <c r="K166" s="818"/>
      <c r="L166" s="820"/>
      <c r="M166" s="2"/>
    </row>
    <row r="167" spans="1:19" x14ac:dyDescent="0.25">
      <c r="B167" s="482"/>
      <c r="C167" s="516"/>
      <c r="D167" s="817"/>
      <c r="E167" s="516"/>
      <c r="F167" s="817"/>
      <c r="G167" s="516"/>
      <c r="H167" s="817"/>
      <c r="I167" s="516"/>
      <c r="J167" s="817"/>
      <c r="K167" s="516"/>
      <c r="L167" s="518"/>
      <c r="M167" s="2"/>
    </row>
    <row r="168" spans="1:19" x14ac:dyDescent="0.25">
      <c r="B168" s="478" t="str">
        <f>IF(Intro!$G$21="English",O168,P168)</f>
        <v>Date de la transaction (P)</v>
      </c>
      <c r="C168" s="513"/>
      <c r="D168" s="816"/>
      <c r="E168" s="513"/>
      <c r="F168" s="816"/>
      <c r="G168" s="513"/>
      <c r="H168" s="816"/>
      <c r="I168" s="513"/>
      <c r="J168" s="816"/>
      <c r="K168" s="513"/>
      <c r="L168" s="515"/>
      <c r="M168" s="2"/>
      <c r="O168" s="2" t="s">
        <v>146</v>
      </c>
      <c r="P168" s="2" t="s">
        <v>147</v>
      </c>
    </row>
    <row r="169" spans="1:19" x14ac:dyDescent="0.25">
      <c r="B169" s="482"/>
      <c r="C169" s="516"/>
      <c r="D169" s="817"/>
      <c r="E169" s="516"/>
      <c r="F169" s="817"/>
      <c r="G169" s="516"/>
      <c r="H169" s="817"/>
      <c r="I169" s="516"/>
      <c r="J169" s="817"/>
      <c r="K169" s="516"/>
      <c r="L169" s="518"/>
      <c r="M169" s="2"/>
    </row>
    <row r="170" spans="1:19" x14ac:dyDescent="0.25">
      <c r="B170" s="478" t="str">
        <f>IF(Intro!$G$21="English",O170,P170)</f>
        <v>Volume offert (tonnes)(LD)</v>
      </c>
      <c r="C170" s="821"/>
      <c r="D170" s="822"/>
      <c r="E170" s="821"/>
      <c r="F170" s="822"/>
      <c r="G170" s="821"/>
      <c r="H170" s="822"/>
      <c r="I170" s="821"/>
      <c r="J170" s="822"/>
      <c r="K170" s="821"/>
      <c r="L170" s="825"/>
      <c r="M170" s="2"/>
      <c r="O170" s="2" t="str">
        <f>"Volume Offered ("&amp;Variables!B23&amp;") (LD)"</f>
        <v>Volume Offered (tonnes) (LD)</v>
      </c>
      <c r="P170" s="2" t="str">
        <f>"Volume offert ("&amp;Variables!C23&amp;")(LD)"</f>
        <v>Volume offert (tonnes)(LD)</v>
      </c>
    </row>
    <row r="171" spans="1:19" x14ac:dyDescent="0.25">
      <c r="B171" s="480"/>
      <c r="C171" s="832"/>
      <c r="D171" s="833"/>
      <c r="E171" s="832"/>
      <c r="F171" s="833"/>
      <c r="G171" s="832"/>
      <c r="H171" s="833"/>
      <c r="I171" s="832"/>
      <c r="J171" s="833"/>
      <c r="K171" s="832"/>
      <c r="L171" s="834"/>
      <c r="M171" s="2"/>
    </row>
    <row r="172" spans="1:19" x14ac:dyDescent="0.25">
      <c r="B172" s="482"/>
      <c r="C172" s="823"/>
      <c r="D172" s="824"/>
      <c r="E172" s="823"/>
      <c r="F172" s="824"/>
      <c r="G172" s="823"/>
      <c r="H172" s="824"/>
      <c r="I172" s="823"/>
      <c r="J172" s="824"/>
      <c r="K172" s="823"/>
      <c r="L172" s="826"/>
      <c r="M172" s="2"/>
    </row>
    <row r="173" spans="1:19" x14ac:dyDescent="0.25">
      <c r="B173" s="478" t="str">
        <f>IF(Intro!$G$21="English",O173,P173)</f>
        <v>Volume vendu (tonnes)(LD)</v>
      </c>
      <c r="C173" s="821"/>
      <c r="D173" s="822"/>
      <c r="E173" s="821"/>
      <c r="F173" s="822"/>
      <c r="G173" s="821"/>
      <c r="H173" s="822"/>
      <c r="I173" s="821"/>
      <c r="J173" s="822"/>
      <c r="K173" s="821"/>
      <c r="L173" s="825"/>
      <c r="M173" s="2"/>
      <c r="O173" s="2" t="str">
        <f>"Volume Sold ("&amp;Variables!B23&amp;")(LD)"</f>
        <v>Volume Sold (tonnes)(LD)</v>
      </c>
      <c r="P173" s="2" t="str">
        <f>"Volume vendu ("&amp;Variables!C23&amp;")(LD)"</f>
        <v>Volume vendu (tonnes)(LD)</v>
      </c>
    </row>
    <row r="174" spans="1:19" x14ac:dyDescent="0.25">
      <c r="B174" s="482"/>
      <c r="C174" s="823"/>
      <c r="D174" s="824"/>
      <c r="E174" s="823"/>
      <c r="F174" s="824"/>
      <c r="G174" s="823"/>
      <c r="H174" s="824"/>
      <c r="I174" s="823"/>
      <c r="J174" s="824"/>
      <c r="K174" s="823"/>
      <c r="L174" s="826"/>
      <c r="M174" s="2"/>
    </row>
    <row r="175" spans="1:19" x14ac:dyDescent="0.25">
      <c r="B175" s="478" t="str">
        <f>IF(Intro!$G$21="English",O175,P175)</f>
        <v>Prix offert ($/tonne)(LD)</v>
      </c>
      <c r="C175" s="513"/>
      <c r="D175" s="816"/>
      <c r="E175" s="513"/>
      <c r="F175" s="816"/>
      <c r="G175" s="513"/>
      <c r="H175" s="816"/>
      <c r="I175" s="513"/>
      <c r="J175" s="816"/>
      <c r="K175" s="513"/>
      <c r="L175" s="515"/>
      <c r="M175" s="2"/>
      <c r="O175" s="2" t="str">
        <f>"Price Offered ($/"&amp;Variables!B24&amp;")(LD)"</f>
        <v>Price Offered ($/tonne)(LD)</v>
      </c>
      <c r="P175" s="2" t="str">
        <f>"Prix offert ($/"&amp;Variables!C24&amp;")(LD)"</f>
        <v>Prix offert ($/tonne)(LD)</v>
      </c>
    </row>
    <row r="176" spans="1:19" x14ac:dyDescent="0.25">
      <c r="B176" s="835"/>
      <c r="C176" s="516"/>
      <c r="D176" s="817"/>
      <c r="E176" s="516"/>
      <c r="F176" s="817"/>
      <c r="G176" s="516"/>
      <c r="H176" s="817"/>
      <c r="I176" s="516"/>
      <c r="J176" s="817"/>
      <c r="K176" s="516"/>
      <c r="L176" s="518"/>
      <c r="M176" s="2"/>
    </row>
    <row r="177" spans="1:16" x14ac:dyDescent="0.25">
      <c r="B177" s="478" t="str">
        <f>IF(Intro!$G$21="English",O177,P177)</f>
        <v>Prix de la transaction ($/tonne) (LD)</v>
      </c>
      <c r="C177" s="513"/>
      <c r="D177" s="816"/>
      <c r="E177" s="513"/>
      <c r="F177" s="816"/>
      <c r="G177" s="513"/>
      <c r="H177" s="816"/>
      <c r="I177" s="513"/>
      <c r="J177" s="816"/>
      <c r="K177" s="513"/>
      <c r="L177" s="515"/>
      <c r="M177" s="2"/>
      <c r="O177" s="2" t="str">
        <f>"Transaction Price ($/"&amp;Variables!B24&amp;")(LD)"</f>
        <v>Transaction Price ($/tonne)(LD)</v>
      </c>
      <c r="P177" s="2" t="str">
        <f>"Prix de la transaction ($/"&amp;Variables!C24&amp;") (LD)"</f>
        <v>Prix de la transaction ($/tonne) (LD)</v>
      </c>
    </row>
    <row r="178" spans="1:16" ht="34.5" customHeight="1" x14ac:dyDescent="0.25">
      <c r="B178" s="482"/>
      <c r="C178" s="516"/>
      <c r="D178" s="817"/>
      <c r="E178" s="516"/>
      <c r="F178" s="817"/>
      <c r="G178" s="516"/>
      <c r="H178" s="817"/>
      <c r="I178" s="516"/>
      <c r="J178" s="817"/>
      <c r="K178" s="516"/>
      <c r="L178" s="518"/>
      <c r="M178" s="2"/>
    </row>
    <row r="179" spans="1:16" s="3" customFormat="1" x14ac:dyDescent="0.25">
      <c r="A179" s="12"/>
      <c r="B179" s="813" t="str">
        <f>IF(Intro!$G$21="English",O179,P179)</f>
        <v>Offre du concurrent</v>
      </c>
      <c r="C179" s="666"/>
      <c r="D179" s="814"/>
      <c r="E179" s="814"/>
      <c r="F179" s="814"/>
      <c r="G179" s="814"/>
      <c r="H179" s="814"/>
      <c r="I179" s="814"/>
      <c r="J179" s="814"/>
      <c r="K179" s="814"/>
      <c r="L179" s="815"/>
      <c r="O179" s="4" t="s">
        <v>141</v>
      </c>
      <c r="P179" s="3" t="s">
        <v>272</v>
      </c>
    </row>
    <row r="180" spans="1:16" x14ac:dyDescent="0.25">
      <c r="B180" s="478" t="str">
        <f>IF(Intro!$G$21="English",O180,P180)</f>
        <v>Nom du concurrent (LD)</v>
      </c>
      <c r="C180" s="513"/>
      <c r="D180" s="816"/>
      <c r="E180" s="513"/>
      <c r="F180" s="816"/>
      <c r="G180" s="513"/>
      <c r="H180" s="816"/>
      <c r="I180" s="513"/>
      <c r="J180" s="816"/>
      <c r="K180" s="513"/>
      <c r="L180" s="515"/>
      <c r="M180" s="2"/>
      <c r="O180" s="2" t="s">
        <v>273</v>
      </c>
      <c r="P180" s="2" t="s">
        <v>274</v>
      </c>
    </row>
    <row r="181" spans="1:16" x14ac:dyDescent="0.25">
      <c r="B181" s="482"/>
      <c r="C181" s="516"/>
      <c r="D181" s="817"/>
      <c r="E181" s="516"/>
      <c r="F181" s="817"/>
      <c r="G181" s="516"/>
      <c r="H181" s="817"/>
      <c r="I181" s="516"/>
      <c r="J181" s="817"/>
      <c r="K181" s="516"/>
      <c r="L181" s="518"/>
      <c r="M181" s="2"/>
    </row>
    <row r="182" spans="1:16" x14ac:dyDescent="0.25">
      <c r="B182" s="478" t="str">
        <f>IF(Intro!$G$21="English",O182,P182)</f>
        <v>Description du produit (P)</v>
      </c>
      <c r="C182" s="513"/>
      <c r="D182" s="816"/>
      <c r="E182" s="513"/>
      <c r="F182" s="816"/>
      <c r="G182" s="513"/>
      <c r="H182" s="816"/>
      <c r="I182" s="513"/>
      <c r="J182" s="816"/>
      <c r="K182" s="513"/>
      <c r="L182" s="515"/>
      <c r="M182" s="2"/>
      <c r="O182" s="2" t="s">
        <v>144</v>
      </c>
      <c r="P182" s="2" t="s">
        <v>145</v>
      </c>
    </row>
    <row r="183" spans="1:16" x14ac:dyDescent="0.25">
      <c r="B183" s="480"/>
      <c r="C183" s="818"/>
      <c r="D183" s="819"/>
      <c r="E183" s="818"/>
      <c r="F183" s="819"/>
      <c r="G183" s="818"/>
      <c r="H183" s="819"/>
      <c r="I183" s="818"/>
      <c r="J183" s="819"/>
      <c r="K183" s="818"/>
      <c r="L183" s="820"/>
      <c r="M183" s="2"/>
    </row>
    <row r="184" spans="1:16" x14ac:dyDescent="0.25">
      <c r="B184" s="480"/>
      <c r="C184" s="818"/>
      <c r="D184" s="819"/>
      <c r="E184" s="818"/>
      <c r="F184" s="819"/>
      <c r="G184" s="818"/>
      <c r="H184" s="819"/>
      <c r="I184" s="818"/>
      <c r="J184" s="819"/>
      <c r="K184" s="818"/>
      <c r="L184" s="820"/>
      <c r="M184" s="2"/>
    </row>
    <row r="185" spans="1:16" x14ac:dyDescent="0.25">
      <c r="B185" s="482"/>
      <c r="C185" s="516"/>
      <c r="D185" s="817"/>
      <c r="E185" s="516"/>
      <c r="F185" s="817"/>
      <c r="G185" s="516"/>
      <c r="H185" s="817"/>
      <c r="I185" s="516"/>
      <c r="J185" s="817"/>
      <c r="K185" s="516"/>
      <c r="L185" s="518"/>
      <c r="M185" s="2"/>
    </row>
    <row r="186" spans="1:16" x14ac:dyDescent="0.25">
      <c r="B186" s="478" t="str">
        <f>IF(Intro!$G$21="English",O186,P186)</f>
        <v>Pays d'origine (P)</v>
      </c>
      <c r="C186" s="513"/>
      <c r="D186" s="816"/>
      <c r="E186" s="513"/>
      <c r="F186" s="816"/>
      <c r="G186" s="513"/>
      <c r="H186" s="816"/>
      <c r="I186" s="513"/>
      <c r="J186" s="816"/>
      <c r="K186" s="513"/>
      <c r="L186" s="515"/>
      <c r="M186" s="2"/>
      <c r="O186" s="2" t="s">
        <v>148</v>
      </c>
      <c r="P186" s="2" t="s">
        <v>149</v>
      </c>
    </row>
    <row r="187" spans="1:16" x14ac:dyDescent="0.25">
      <c r="B187" s="482"/>
      <c r="C187" s="516"/>
      <c r="D187" s="817"/>
      <c r="E187" s="516"/>
      <c r="F187" s="817"/>
      <c r="G187" s="516"/>
      <c r="H187" s="817"/>
      <c r="I187" s="516"/>
      <c r="J187" s="817"/>
      <c r="K187" s="516"/>
      <c r="L187" s="518"/>
      <c r="M187" s="2"/>
    </row>
    <row r="188" spans="1:16" x14ac:dyDescent="0.25">
      <c r="B188" s="478" t="str">
        <f>IF(Intro!$G$21="English",O188,P188)</f>
        <v>Volume offert (tonnes) (LD)</v>
      </c>
      <c r="C188" s="821"/>
      <c r="D188" s="822"/>
      <c r="E188" s="821"/>
      <c r="F188" s="822"/>
      <c r="G188" s="821"/>
      <c r="H188" s="822"/>
      <c r="I188" s="821"/>
      <c r="J188" s="822"/>
      <c r="K188" s="821"/>
      <c r="L188" s="825"/>
      <c r="M188" s="2"/>
      <c r="O188" s="2" t="str">
        <f>"Volume Offered ("&amp;Variables!B23&amp;") (LD)"</f>
        <v>Volume Offered (tonnes) (LD)</v>
      </c>
      <c r="P188" s="2" t="str">
        <f>"Volume offert ("&amp;Variables!C23&amp;") (LD)"</f>
        <v>Volume offert (tonnes) (LD)</v>
      </c>
    </row>
    <row r="189" spans="1:16" x14ac:dyDescent="0.25">
      <c r="B189" s="482"/>
      <c r="C189" s="823"/>
      <c r="D189" s="824"/>
      <c r="E189" s="823"/>
      <c r="F189" s="824"/>
      <c r="G189" s="823"/>
      <c r="H189" s="824"/>
      <c r="I189" s="823"/>
      <c r="J189" s="824"/>
      <c r="K189" s="823"/>
      <c r="L189" s="826"/>
      <c r="M189" s="2"/>
    </row>
    <row r="190" spans="1:16" x14ac:dyDescent="0.25">
      <c r="B190" s="478" t="str">
        <f>IF(Intro!$G$21="English",O190,P190)</f>
        <v>Volume vendu (tonnes) (LD)</v>
      </c>
      <c r="C190" s="821"/>
      <c r="D190" s="822"/>
      <c r="E190" s="821"/>
      <c r="F190" s="822"/>
      <c r="G190" s="821"/>
      <c r="H190" s="822"/>
      <c r="I190" s="821"/>
      <c r="J190" s="822"/>
      <c r="K190" s="821"/>
      <c r="L190" s="825"/>
      <c r="M190" s="2"/>
      <c r="O190" s="2" t="str">
        <f>"Volume Sold ("&amp;Variables!B23&amp;") (LD)"</f>
        <v>Volume Sold (tonnes) (LD)</v>
      </c>
      <c r="P190" s="2" t="str">
        <f>"Volume vendu ("&amp;Variables!C23&amp;") (LD)"</f>
        <v>Volume vendu (tonnes) (LD)</v>
      </c>
    </row>
    <row r="191" spans="1:16" x14ac:dyDescent="0.25">
      <c r="B191" s="482"/>
      <c r="C191" s="823"/>
      <c r="D191" s="824"/>
      <c r="E191" s="823"/>
      <c r="F191" s="824"/>
      <c r="G191" s="823"/>
      <c r="H191" s="824"/>
      <c r="I191" s="823"/>
      <c r="J191" s="824"/>
      <c r="K191" s="823"/>
      <c r="L191" s="826"/>
      <c r="M191" s="2"/>
    </row>
    <row r="192" spans="1:16" x14ac:dyDescent="0.25">
      <c r="B192" s="478" t="str">
        <f>IF(Intro!$G$21="English",O192,P192)</f>
        <v>Prix offert ($/tonne) (LD)</v>
      </c>
      <c r="C192" s="513"/>
      <c r="D192" s="816"/>
      <c r="E192" s="513"/>
      <c r="F192" s="816"/>
      <c r="G192" s="513"/>
      <c r="H192" s="816"/>
      <c r="I192" s="513"/>
      <c r="J192" s="816"/>
      <c r="K192" s="513"/>
      <c r="L192" s="515"/>
      <c r="M192" s="2"/>
      <c r="O192" s="2" t="str">
        <f>"Price Offered ($/"&amp;Variables!B24&amp;") (LD)"</f>
        <v>Price Offered ($/tonne) (LD)</v>
      </c>
      <c r="P192" s="2" t="str">
        <f>"Prix offert ($/"&amp;Variables!C24&amp;") (LD)"</f>
        <v>Prix offert ($/tonne) (LD)</v>
      </c>
    </row>
    <row r="193" spans="1:19" x14ac:dyDescent="0.25">
      <c r="B193" s="482"/>
      <c r="C193" s="516"/>
      <c r="D193" s="817"/>
      <c r="E193" s="516"/>
      <c r="F193" s="817"/>
      <c r="G193" s="516"/>
      <c r="H193" s="817"/>
      <c r="I193" s="516"/>
      <c r="J193" s="817"/>
      <c r="K193" s="516"/>
      <c r="L193" s="518"/>
      <c r="M193" s="2"/>
    </row>
    <row r="194" spans="1:19" x14ac:dyDescent="0.25">
      <c r="B194" s="478" t="str">
        <f>IF(Intro!$G$21="English",O194,P194)</f>
        <v>Prix de la transaction ($/tonne) (LD)</v>
      </c>
      <c r="C194" s="513"/>
      <c r="D194" s="816"/>
      <c r="E194" s="513"/>
      <c r="F194" s="816"/>
      <c r="G194" s="513"/>
      <c r="H194" s="816"/>
      <c r="I194" s="513"/>
      <c r="J194" s="816"/>
      <c r="K194" s="513"/>
      <c r="L194" s="515"/>
      <c r="M194" s="2"/>
      <c r="O194" s="2" t="str">
        <f>"Transaction Price ($/"&amp;Variables!B24&amp;") (LD)"</f>
        <v>Transaction Price ($/tonne) (LD)</v>
      </c>
      <c r="P194" s="2" t="str">
        <f>"Prix de la transaction ($/"&amp;Variables!C24&amp;") (LD)"</f>
        <v>Prix de la transaction ($/tonne) (LD)</v>
      </c>
    </row>
    <row r="195" spans="1:19" ht="38.1" customHeight="1" x14ac:dyDescent="0.25">
      <c r="B195" s="482"/>
      <c r="C195" s="516"/>
      <c r="D195" s="817"/>
      <c r="E195" s="516"/>
      <c r="F195" s="817"/>
      <c r="G195" s="516"/>
      <c r="H195" s="817"/>
      <c r="I195" s="516"/>
      <c r="J195" s="817"/>
      <c r="K195" s="516"/>
      <c r="L195" s="518"/>
      <c r="M195" s="2"/>
    </row>
    <row r="196" spans="1:19" x14ac:dyDescent="0.25">
      <c r="B196" s="159"/>
      <c r="C196" s="160"/>
      <c r="D196" s="26"/>
      <c r="E196" s="26"/>
      <c r="F196" s="26"/>
      <c r="G196" s="26"/>
      <c r="H196" s="26"/>
      <c r="I196" s="26"/>
      <c r="J196" s="26"/>
      <c r="K196" s="26"/>
      <c r="L196" s="27"/>
      <c r="M196" s="2"/>
      <c r="O196" s="11"/>
    </row>
    <row r="197" spans="1:19" x14ac:dyDescent="0.25">
      <c r="B197" s="219" t="str">
        <f>B152</f>
        <v>Allegation</v>
      </c>
      <c r="C197" s="830">
        <v>6</v>
      </c>
      <c r="D197" s="831"/>
      <c r="E197" s="827">
        <v>7</v>
      </c>
      <c r="F197" s="828"/>
      <c r="G197" s="827">
        <v>8</v>
      </c>
      <c r="H197" s="828"/>
      <c r="I197" s="827">
        <v>9</v>
      </c>
      <c r="J197" s="828"/>
      <c r="K197" s="827">
        <v>10</v>
      </c>
      <c r="L197" s="829"/>
      <c r="M197" s="2"/>
      <c r="O197" s="11"/>
    </row>
    <row r="198" spans="1:19" s="3" customFormat="1" x14ac:dyDescent="0.25">
      <c r="A198" s="18"/>
      <c r="B198" s="813" t="str">
        <f>B153</f>
        <v>Renseignements généraux</v>
      </c>
      <c r="C198" s="666"/>
      <c r="D198" s="814"/>
      <c r="E198" s="814"/>
      <c r="F198" s="814"/>
      <c r="G198" s="814"/>
      <c r="H198" s="814"/>
      <c r="I198" s="814"/>
      <c r="J198" s="814"/>
      <c r="K198" s="814"/>
      <c r="L198" s="815"/>
      <c r="O198" s="4"/>
    </row>
    <row r="199" spans="1:19" x14ac:dyDescent="0.25">
      <c r="B199" s="478" t="str">
        <f>B154</f>
        <v>Nom du client (LD)</v>
      </c>
      <c r="C199" s="513"/>
      <c r="D199" s="816"/>
      <c r="E199" s="513"/>
      <c r="F199" s="816"/>
      <c r="G199" s="513"/>
      <c r="H199" s="816"/>
      <c r="I199" s="513"/>
      <c r="J199" s="816"/>
      <c r="K199" s="513"/>
      <c r="L199" s="515"/>
      <c r="M199" s="2"/>
    </row>
    <row r="200" spans="1:19" x14ac:dyDescent="0.25">
      <c r="B200" s="482"/>
      <c r="C200" s="516"/>
      <c r="D200" s="817"/>
      <c r="E200" s="516"/>
      <c r="F200" s="817"/>
      <c r="G200" s="516"/>
      <c r="H200" s="817"/>
      <c r="I200" s="516"/>
      <c r="J200" s="817"/>
      <c r="K200" s="516"/>
      <c r="L200" s="518"/>
      <c r="M200" s="2"/>
    </row>
    <row r="201" spans="1:19" x14ac:dyDescent="0.25">
      <c r="B201" s="478" t="str">
        <f t="shared" ref="B201" si="0">B156</f>
        <v>Adresse (LD)</v>
      </c>
      <c r="C201" s="513"/>
      <c r="D201" s="816"/>
      <c r="E201" s="513"/>
      <c r="F201" s="816"/>
      <c r="G201" s="513"/>
      <c r="H201" s="816"/>
      <c r="I201" s="513"/>
      <c r="J201" s="816"/>
      <c r="K201" s="513"/>
      <c r="L201" s="515"/>
      <c r="M201" s="2"/>
    </row>
    <row r="202" spans="1:19" x14ac:dyDescent="0.25">
      <c r="B202" s="482"/>
      <c r="C202" s="516"/>
      <c r="D202" s="817"/>
      <c r="E202" s="516"/>
      <c r="F202" s="817"/>
      <c r="G202" s="516"/>
      <c r="H202" s="817"/>
      <c r="I202" s="516"/>
      <c r="J202" s="817"/>
      <c r="K202" s="516"/>
      <c r="L202" s="518"/>
      <c r="M202" s="2"/>
    </row>
    <row r="203" spans="1:19" x14ac:dyDescent="0.25">
      <c r="B203" s="478" t="str">
        <f t="shared" ref="B203" si="1">B158</f>
        <v>Niveau commercial (LD)</v>
      </c>
      <c r="C203" s="513"/>
      <c r="D203" s="816"/>
      <c r="E203" s="513"/>
      <c r="F203" s="816"/>
      <c r="G203" s="513"/>
      <c r="H203" s="816"/>
      <c r="I203" s="513"/>
      <c r="J203" s="816"/>
      <c r="K203" s="513"/>
      <c r="L203" s="515"/>
      <c r="M203" s="2"/>
    </row>
    <row r="204" spans="1:19" x14ac:dyDescent="0.25">
      <c r="B204" s="482"/>
      <c r="C204" s="516"/>
      <c r="D204" s="817"/>
      <c r="E204" s="516"/>
      <c r="F204" s="817"/>
      <c r="G204" s="516"/>
      <c r="H204" s="817"/>
      <c r="I204" s="516"/>
      <c r="J204" s="817"/>
      <c r="K204" s="516"/>
      <c r="L204" s="518"/>
      <c r="M204" s="2"/>
    </row>
    <row r="205" spans="1:19" x14ac:dyDescent="0.25">
      <c r="B205" s="478" t="str">
        <f>B160</f>
        <v>Nature du dommage allégué (P)</v>
      </c>
      <c r="C205" s="513"/>
      <c r="D205" s="816"/>
      <c r="E205" s="513"/>
      <c r="F205" s="816"/>
      <c r="G205" s="513"/>
      <c r="H205" s="816"/>
      <c r="I205" s="513"/>
      <c r="J205" s="816"/>
      <c r="K205" s="513"/>
      <c r="L205" s="515"/>
      <c r="M205" s="2"/>
    </row>
    <row r="206" spans="1:19" x14ac:dyDescent="0.25">
      <c r="B206" s="480"/>
      <c r="C206" s="818"/>
      <c r="D206" s="819"/>
      <c r="E206" s="818"/>
      <c r="F206" s="819"/>
      <c r="G206" s="818"/>
      <c r="H206" s="819"/>
      <c r="I206" s="818"/>
      <c r="J206" s="819"/>
      <c r="K206" s="818"/>
      <c r="L206" s="820"/>
      <c r="M206" s="2"/>
    </row>
    <row r="207" spans="1:19" x14ac:dyDescent="0.25">
      <c r="B207" s="482"/>
      <c r="C207" s="516"/>
      <c r="D207" s="817"/>
      <c r="E207" s="516"/>
      <c r="F207" s="817"/>
      <c r="G207" s="516"/>
      <c r="H207" s="817"/>
      <c r="I207" s="516"/>
      <c r="J207" s="817"/>
      <c r="K207" s="516"/>
      <c r="L207" s="518"/>
      <c r="M207" s="2"/>
    </row>
    <row r="208" spans="1:19" s="3" customFormat="1" x14ac:dyDescent="0.25">
      <c r="A208" s="12"/>
      <c r="B208" s="813" t="str">
        <f>B163</f>
        <v>Offre du producteur national</v>
      </c>
      <c r="C208" s="666"/>
      <c r="D208" s="814"/>
      <c r="E208" s="814"/>
      <c r="F208" s="814"/>
      <c r="G208" s="814"/>
      <c r="H208" s="814"/>
      <c r="I208" s="814"/>
      <c r="J208" s="814"/>
      <c r="K208" s="814"/>
      <c r="L208" s="815"/>
      <c r="O208" s="4"/>
      <c r="P208" s="4"/>
      <c r="Q208" s="4"/>
      <c r="R208" s="4"/>
      <c r="S208" s="4"/>
    </row>
    <row r="209" spans="1:15" x14ac:dyDescent="0.25">
      <c r="B209" s="478" t="str">
        <f>B164</f>
        <v>Description du produit (P)</v>
      </c>
      <c r="C209" s="513"/>
      <c r="D209" s="816"/>
      <c r="E209" s="513"/>
      <c r="F209" s="816"/>
      <c r="G209" s="513"/>
      <c r="H209" s="816"/>
      <c r="I209" s="513"/>
      <c r="J209" s="816"/>
      <c r="K209" s="513"/>
      <c r="L209" s="515"/>
      <c r="M209" s="2"/>
    </row>
    <row r="210" spans="1:15" x14ac:dyDescent="0.25">
      <c r="B210" s="480"/>
      <c r="C210" s="818"/>
      <c r="D210" s="819"/>
      <c r="E210" s="818"/>
      <c r="F210" s="819"/>
      <c r="G210" s="818"/>
      <c r="H210" s="819"/>
      <c r="I210" s="818"/>
      <c r="J210" s="819"/>
      <c r="K210" s="818"/>
      <c r="L210" s="820"/>
      <c r="M210" s="2"/>
    </row>
    <row r="211" spans="1:15" x14ac:dyDescent="0.25">
      <c r="B211" s="480"/>
      <c r="C211" s="818"/>
      <c r="D211" s="819"/>
      <c r="E211" s="818"/>
      <c r="F211" s="819"/>
      <c r="G211" s="818"/>
      <c r="H211" s="819"/>
      <c r="I211" s="818"/>
      <c r="J211" s="819"/>
      <c r="K211" s="818"/>
      <c r="L211" s="820"/>
      <c r="M211" s="2"/>
    </row>
    <row r="212" spans="1:15" x14ac:dyDescent="0.25">
      <c r="B212" s="482"/>
      <c r="C212" s="516"/>
      <c r="D212" s="817"/>
      <c r="E212" s="516"/>
      <c r="F212" s="817"/>
      <c r="G212" s="516"/>
      <c r="H212" s="817"/>
      <c r="I212" s="516"/>
      <c r="J212" s="817"/>
      <c r="K212" s="516"/>
      <c r="L212" s="518"/>
      <c r="M212" s="2"/>
    </row>
    <row r="213" spans="1:15" x14ac:dyDescent="0.25">
      <c r="B213" s="478" t="str">
        <f>B168</f>
        <v>Date de la transaction (P)</v>
      </c>
      <c r="C213" s="513"/>
      <c r="D213" s="816"/>
      <c r="E213" s="513"/>
      <c r="F213" s="816"/>
      <c r="G213" s="513"/>
      <c r="H213" s="816"/>
      <c r="I213" s="513"/>
      <c r="J213" s="816"/>
      <c r="K213" s="513"/>
      <c r="L213" s="515"/>
      <c r="M213" s="2"/>
    </row>
    <row r="214" spans="1:15" x14ac:dyDescent="0.25">
      <c r="B214" s="482"/>
      <c r="C214" s="516"/>
      <c r="D214" s="817"/>
      <c r="E214" s="516"/>
      <c r="F214" s="817"/>
      <c r="G214" s="516"/>
      <c r="H214" s="817"/>
      <c r="I214" s="516"/>
      <c r="J214" s="817"/>
      <c r="K214" s="516"/>
      <c r="L214" s="518"/>
      <c r="M214" s="2"/>
    </row>
    <row r="215" spans="1:15" x14ac:dyDescent="0.25">
      <c r="B215" s="478" t="str">
        <f>B170</f>
        <v>Volume offert (tonnes)(LD)</v>
      </c>
      <c r="C215" s="821"/>
      <c r="D215" s="822"/>
      <c r="E215" s="821"/>
      <c r="F215" s="822"/>
      <c r="G215" s="821"/>
      <c r="H215" s="822"/>
      <c r="I215" s="821"/>
      <c r="J215" s="822"/>
      <c r="K215" s="821"/>
      <c r="L215" s="825"/>
      <c r="M215" s="2"/>
    </row>
    <row r="216" spans="1:15" x14ac:dyDescent="0.25">
      <c r="B216" s="480"/>
      <c r="C216" s="832"/>
      <c r="D216" s="833"/>
      <c r="E216" s="832"/>
      <c r="F216" s="833"/>
      <c r="G216" s="832"/>
      <c r="H216" s="833"/>
      <c r="I216" s="832"/>
      <c r="J216" s="833"/>
      <c r="K216" s="832"/>
      <c r="L216" s="834"/>
      <c r="M216" s="2"/>
    </row>
    <row r="217" spans="1:15" x14ac:dyDescent="0.25">
      <c r="B217" s="482"/>
      <c r="C217" s="823"/>
      <c r="D217" s="824"/>
      <c r="E217" s="823"/>
      <c r="F217" s="824"/>
      <c r="G217" s="823"/>
      <c r="H217" s="824"/>
      <c r="I217" s="823"/>
      <c r="J217" s="824"/>
      <c r="K217" s="823"/>
      <c r="L217" s="826"/>
      <c r="M217" s="2"/>
    </row>
    <row r="218" spans="1:15" x14ac:dyDescent="0.25">
      <c r="B218" s="478" t="str">
        <f>B173</f>
        <v>Volume vendu (tonnes)(LD)</v>
      </c>
      <c r="C218" s="821"/>
      <c r="D218" s="822"/>
      <c r="E218" s="821"/>
      <c r="F218" s="822"/>
      <c r="G218" s="821"/>
      <c r="H218" s="822"/>
      <c r="I218" s="821"/>
      <c r="J218" s="822"/>
      <c r="K218" s="821"/>
      <c r="L218" s="825"/>
      <c r="M218" s="2"/>
    </row>
    <row r="219" spans="1:15" x14ac:dyDescent="0.25">
      <c r="B219" s="482"/>
      <c r="C219" s="823"/>
      <c r="D219" s="824"/>
      <c r="E219" s="823"/>
      <c r="F219" s="824"/>
      <c r="G219" s="823"/>
      <c r="H219" s="824"/>
      <c r="I219" s="823"/>
      <c r="J219" s="824"/>
      <c r="K219" s="823"/>
      <c r="L219" s="826"/>
      <c r="M219" s="2"/>
    </row>
    <row r="220" spans="1:15" x14ac:dyDescent="0.25">
      <c r="B220" s="478" t="str">
        <f t="shared" ref="B220" si="2">B175</f>
        <v>Prix offert ($/tonne)(LD)</v>
      </c>
      <c r="C220" s="513"/>
      <c r="D220" s="816"/>
      <c r="E220" s="513"/>
      <c r="F220" s="816"/>
      <c r="G220" s="513"/>
      <c r="H220" s="816"/>
      <c r="I220" s="513"/>
      <c r="J220" s="816"/>
      <c r="K220" s="513"/>
      <c r="L220" s="515"/>
      <c r="M220" s="2"/>
    </row>
    <row r="221" spans="1:15" x14ac:dyDescent="0.25">
      <c r="B221" s="482"/>
      <c r="C221" s="516"/>
      <c r="D221" s="817"/>
      <c r="E221" s="516"/>
      <c r="F221" s="817"/>
      <c r="G221" s="516"/>
      <c r="H221" s="817"/>
      <c r="I221" s="516"/>
      <c r="J221" s="817"/>
      <c r="K221" s="516"/>
      <c r="L221" s="518"/>
      <c r="M221" s="2"/>
    </row>
    <row r="222" spans="1:15" x14ac:dyDescent="0.25">
      <c r="B222" s="478" t="str">
        <f>B177</f>
        <v>Prix de la transaction ($/tonne) (LD)</v>
      </c>
      <c r="C222" s="513"/>
      <c r="D222" s="816"/>
      <c r="E222" s="513"/>
      <c r="F222" s="816"/>
      <c r="G222" s="513"/>
      <c r="H222" s="816"/>
      <c r="I222" s="513"/>
      <c r="J222" s="816"/>
      <c r="K222" s="513"/>
      <c r="L222" s="515"/>
      <c r="M222" s="2"/>
    </row>
    <row r="223" spans="1:15" ht="36.6" customHeight="1" x14ac:dyDescent="0.25">
      <c r="B223" s="482"/>
      <c r="C223" s="516"/>
      <c r="D223" s="817"/>
      <c r="E223" s="516"/>
      <c r="F223" s="817"/>
      <c r="G223" s="516"/>
      <c r="H223" s="817"/>
      <c r="I223" s="516"/>
      <c r="J223" s="817"/>
      <c r="K223" s="516"/>
      <c r="L223" s="518"/>
      <c r="M223" s="2"/>
    </row>
    <row r="224" spans="1:15" s="3" customFormat="1" x14ac:dyDescent="0.25">
      <c r="A224" s="12"/>
      <c r="B224" s="813" t="str">
        <f>B179</f>
        <v>Offre du concurrent</v>
      </c>
      <c r="C224" s="666"/>
      <c r="D224" s="814"/>
      <c r="E224" s="814"/>
      <c r="F224" s="814"/>
      <c r="G224" s="814"/>
      <c r="H224" s="814"/>
      <c r="I224" s="814"/>
      <c r="J224" s="814"/>
      <c r="K224" s="814"/>
      <c r="L224" s="815"/>
      <c r="O224" s="4"/>
    </row>
    <row r="225" spans="1:12" s="2" customFormat="1" x14ac:dyDescent="0.25">
      <c r="A225" s="12"/>
      <c r="B225" s="478" t="str">
        <f>B180</f>
        <v>Nom du concurrent (LD)</v>
      </c>
      <c r="C225" s="513"/>
      <c r="D225" s="816"/>
      <c r="E225" s="513"/>
      <c r="F225" s="816"/>
      <c r="G225" s="513"/>
      <c r="H225" s="816"/>
      <c r="I225" s="513"/>
      <c r="J225" s="816"/>
      <c r="K225" s="513"/>
      <c r="L225" s="515"/>
    </row>
    <row r="226" spans="1:12" s="2" customFormat="1" x14ac:dyDescent="0.25">
      <c r="A226" s="12"/>
      <c r="B226" s="482"/>
      <c r="C226" s="516"/>
      <c r="D226" s="817"/>
      <c r="E226" s="516"/>
      <c r="F226" s="817"/>
      <c r="G226" s="516"/>
      <c r="H226" s="817"/>
      <c r="I226" s="516"/>
      <c r="J226" s="817"/>
      <c r="K226" s="516"/>
      <c r="L226" s="518"/>
    </row>
    <row r="227" spans="1:12" s="2" customFormat="1" x14ac:dyDescent="0.25">
      <c r="A227" s="12"/>
      <c r="B227" s="478" t="str">
        <f>B182</f>
        <v>Description du produit (P)</v>
      </c>
      <c r="C227" s="513"/>
      <c r="D227" s="816"/>
      <c r="E227" s="513"/>
      <c r="F227" s="816"/>
      <c r="G227" s="513"/>
      <c r="H227" s="816"/>
      <c r="I227" s="513"/>
      <c r="J227" s="816"/>
      <c r="K227" s="513"/>
      <c r="L227" s="515"/>
    </row>
    <row r="228" spans="1:12" s="2" customFormat="1" x14ac:dyDescent="0.25">
      <c r="A228" s="12"/>
      <c r="B228" s="480"/>
      <c r="C228" s="818"/>
      <c r="D228" s="819"/>
      <c r="E228" s="818"/>
      <c r="F228" s="819"/>
      <c r="G228" s="818"/>
      <c r="H228" s="819"/>
      <c r="I228" s="818"/>
      <c r="J228" s="819"/>
      <c r="K228" s="818"/>
      <c r="L228" s="820"/>
    </row>
    <row r="229" spans="1:12" s="2" customFormat="1" x14ac:dyDescent="0.25">
      <c r="A229" s="12"/>
      <c r="B229" s="480"/>
      <c r="C229" s="818"/>
      <c r="D229" s="819"/>
      <c r="E229" s="818"/>
      <c r="F229" s="819"/>
      <c r="G229" s="818"/>
      <c r="H229" s="819"/>
      <c r="I229" s="818"/>
      <c r="J229" s="819"/>
      <c r="K229" s="818"/>
      <c r="L229" s="820"/>
    </row>
    <row r="230" spans="1:12" s="2" customFormat="1" x14ac:dyDescent="0.25">
      <c r="A230" s="12"/>
      <c r="B230" s="482"/>
      <c r="C230" s="516"/>
      <c r="D230" s="817"/>
      <c r="E230" s="516"/>
      <c r="F230" s="817"/>
      <c r="G230" s="516"/>
      <c r="H230" s="817"/>
      <c r="I230" s="516"/>
      <c r="J230" s="817"/>
      <c r="K230" s="516"/>
      <c r="L230" s="518"/>
    </row>
    <row r="231" spans="1:12" s="2" customFormat="1" x14ac:dyDescent="0.25">
      <c r="A231" s="12"/>
      <c r="B231" s="478" t="str">
        <f>B186</f>
        <v>Pays d'origine (P)</v>
      </c>
      <c r="C231" s="513"/>
      <c r="D231" s="816"/>
      <c r="E231" s="513"/>
      <c r="F231" s="816"/>
      <c r="G231" s="513"/>
      <c r="H231" s="816"/>
      <c r="I231" s="513"/>
      <c r="J231" s="816"/>
      <c r="K231" s="513"/>
      <c r="L231" s="515"/>
    </row>
    <row r="232" spans="1:12" s="2" customFormat="1" x14ac:dyDescent="0.25">
      <c r="A232" s="12"/>
      <c r="B232" s="482"/>
      <c r="C232" s="516"/>
      <c r="D232" s="817"/>
      <c r="E232" s="516"/>
      <c r="F232" s="817"/>
      <c r="G232" s="516"/>
      <c r="H232" s="817"/>
      <c r="I232" s="516"/>
      <c r="J232" s="817"/>
      <c r="K232" s="516"/>
      <c r="L232" s="518"/>
    </row>
    <row r="233" spans="1:12" s="2" customFormat="1" x14ac:dyDescent="0.25">
      <c r="A233" s="12"/>
      <c r="B233" s="478" t="str">
        <f>B188</f>
        <v>Volume offert (tonnes) (LD)</v>
      </c>
      <c r="C233" s="821"/>
      <c r="D233" s="822"/>
      <c r="E233" s="821"/>
      <c r="F233" s="822"/>
      <c r="G233" s="821"/>
      <c r="H233" s="822"/>
      <c r="I233" s="821"/>
      <c r="J233" s="822"/>
      <c r="K233" s="821"/>
      <c r="L233" s="825"/>
    </row>
    <row r="234" spans="1:12" s="2" customFormat="1" x14ac:dyDescent="0.25">
      <c r="A234" s="12"/>
      <c r="B234" s="482"/>
      <c r="C234" s="823"/>
      <c r="D234" s="824"/>
      <c r="E234" s="823"/>
      <c r="F234" s="824"/>
      <c r="G234" s="823"/>
      <c r="H234" s="824"/>
      <c r="I234" s="823"/>
      <c r="J234" s="824"/>
      <c r="K234" s="823"/>
      <c r="L234" s="826"/>
    </row>
    <row r="235" spans="1:12" s="2" customFormat="1" x14ac:dyDescent="0.25">
      <c r="A235" s="12"/>
      <c r="B235" s="478" t="str">
        <f>B190</f>
        <v>Volume vendu (tonnes) (LD)</v>
      </c>
      <c r="C235" s="821"/>
      <c r="D235" s="822"/>
      <c r="E235" s="821"/>
      <c r="F235" s="822"/>
      <c r="G235" s="821"/>
      <c r="H235" s="822"/>
      <c r="I235" s="821"/>
      <c r="J235" s="822"/>
      <c r="K235" s="821"/>
      <c r="L235" s="825"/>
    </row>
    <row r="236" spans="1:12" s="2" customFormat="1" x14ac:dyDescent="0.25">
      <c r="A236" s="12"/>
      <c r="B236" s="482"/>
      <c r="C236" s="823"/>
      <c r="D236" s="824"/>
      <c r="E236" s="823"/>
      <c r="F236" s="824"/>
      <c r="G236" s="823"/>
      <c r="H236" s="824"/>
      <c r="I236" s="823"/>
      <c r="J236" s="824"/>
      <c r="K236" s="823"/>
      <c r="L236" s="826"/>
    </row>
    <row r="237" spans="1:12" s="2" customFormat="1" x14ac:dyDescent="0.25">
      <c r="A237" s="12"/>
      <c r="B237" s="478" t="str">
        <f>B192</f>
        <v>Prix offert ($/tonne) (LD)</v>
      </c>
      <c r="C237" s="513"/>
      <c r="D237" s="816"/>
      <c r="E237" s="513"/>
      <c r="F237" s="816"/>
      <c r="G237" s="513"/>
      <c r="H237" s="816"/>
      <c r="I237" s="513"/>
      <c r="J237" s="816"/>
      <c r="K237" s="513"/>
      <c r="L237" s="515"/>
    </row>
    <row r="238" spans="1:12" s="2" customFormat="1" x14ac:dyDescent="0.25">
      <c r="A238" s="12"/>
      <c r="B238" s="482"/>
      <c r="C238" s="516"/>
      <c r="D238" s="817"/>
      <c r="E238" s="516"/>
      <c r="F238" s="817"/>
      <c r="G238" s="516"/>
      <c r="H238" s="817"/>
      <c r="I238" s="516"/>
      <c r="J238" s="817"/>
      <c r="K238" s="516"/>
      <c r="L238" s="518"/>
    </row>
    <row r="239" spans="1:12" s="2" customFormat="1" x14ac:dyDescent="0.25">
      <c r="A239" s="12"/>
      <c r="B239" s="478" t="str">
        <f>B194</f>
        <v>Prix de la transaction ($/tonne) (LD)</v>
      </c>
      <c r="C239" s="513"/>
      <c r="D239" s="816"/>
      <c r="E239" s="513"/>
      <c r="F239" s="816"/>
      <c r="G239" s="513"/>
      <c r="H239" s="816"/>
      <c r="I239" s="513"/>
      <c r="J239" s="816"/>
      <c r="K239" s="513"/>
      <c r="L239" s="515"/>
    </row>
    <row r="240" spans="1:12" s="2" customFormat="1" ht="34.5" customHeight="1" x14ac:dyDescent="0.25">
      <c r="A240" s="12"/>
      <c r="B240" s="482"/>
      <c r="C240" s="516"/>
      <c r="D240" s="817"/>
      <c r="E240" s="516"/>
      <c r="F240" s="817"/>
      <c r="G240" s="516"/>
      <c r="H240" s="817"/>
      <c r="I240" s="516"/>
      <c r="J240" s="817"/>
      <c r="K240" s="516"/>
      <c r="L240" s="518"/>
    </row>
    <row r="241" spans="1:12" s="2" customFormat="1" x14ac:dyDescent="0.25">
      <c r="A241" s="12"/>
      <c r="B241" s="176"/>
      <c r="C241" s="177"/>
      <c r="D241" s="177"/>
      <c r="E241" s="177"/>
      <c r="F241" s="177"/>
      <c r="G241" s="177"/>
      <c r="H241" s="177"/>
      <c r="I241" s="177"/>
      <c r="J241" s="177"/>
      <c r="K241" s="177"/>
      <c r="L241" s="178"/>
    </row>
  </sheetData>
  <sheetProtection algorithmName="SHA-512" hashValue="rouin83rx7880GXCcj4qRIjdtPzU9Pz2xt9qDRmlDd5fiE5GffhXZr1COKSLhmhvpkSJCeBvqcqCiH+WYg8yWQ==" saltValue="NqAwy1w03HSAzUyUAupWNg==" spinCount="100000" sheet="1" objects="1" scenarios="1" selectLockedCells="1"/>
  <mergeCells count="336">
    <mergeCell ref="B83:C83"/>
    <mergeCell ref="B67:C67"/>
    <mergeCell ref="B68:C70"/>
    <mergeCell ref="B71:C71"/>
    <mergeCell ref="B72:C72"/>
    <mergeCell ref="B77:C77"/>
    <mergeCell ref="B78:C80"/>
    <mergeCell ref="B81:C81"/>
    <mergeCell ref="B82:C82"/>
    <mergeCell ref="B43:C43"/>
    <mergeCell ref="B63:C63"/>
    <mergeCell ref="B64:C64"/>
    <mergeCell ref="B65:C65"/>
    <mergeCell ref="B66:C66"/>
    <mergeCell ref="B73:C73"/>
    <mergeCell ref="B74:C74"/>
    <mergeCell ref="B75:C75"/>
    <mergeCell ref="B76:C76"/>
    <mergeCell ref="B57:C57"/>
    <mergeCell ref="B58:C60"/>
    <mergeCell ref="B61:C61"/>
    <mergeCell ref="B62:C62"/>
    <mergeCell ref="B44:C44"/>
    <mergeCell ref="B45:C45"/>
    <mergeCell ref="B46:C46"/>
    <mergeCell ref="B53:C53"/>
    <mergeCell ref="B54:C54"/>
    <mergeCell ref="B55:C55"/>
    <mergeCell ref="B56:C56"/>
    <mergeCell ref="B231:B232"/>
    <mergeCell ref="C231:D232"/>
    <mergeCell ref="E231:F232"/>
    <mergeCell ref="G231:H232"/>
    <mergeCell ref="I231:J232"/>
    <mergeCell ref="K231:L232"/>
    <mergeCell ref="B237:B238"/>
    <mergeCell ref="C237:D238"/>
    <mergeCell ref="E237:F238"/>
    <mergeCell ref="G237:H238"/>
    <mergeCell ref="I237:J238"/>
    <mergeCell ref="K237:L238"/>
    <mergeCell ref="C235:D236"/>
    <mergeCell ref="E235:F236"/>
    <mergeCell ref="G235:H236"/>
    <mergeCell ref="I235:J236"/>
    <mergeCell ref="K235:L236"/>
    <mergeCell ref="B218:B219"/>
    <mergeCell ref="C218:D219"/>
    <mergeCell ref="E218:F219"/>
    <mergeCell ref="G218:H219"/>
    <mergeCell ref="I218:J219"/>
    <mergeCell ref="K218:L219"/>
    <mergeCell ref="B220:B221"/>
    <mergeCell ref="C220:D221"/>
    <mergeCell ref="E220:F221"/>
    <mergeCell ref="G220:H221"/>
    <mergeCell ref="I220:J221"/>
    <mergeCell ref="K220:L221"/>
    <mergeCell ref="B213:B214"/>
    <mergeCell ref="C213:D214"/>
    <mergeCell ref="E213:F214"/>
    <mergeCell ref="G213:H214"/>
    <mergeCell ref="I213:J214"/>
    <mergeCell ref="K213:L214"/>
    <mergeCell ref="B215:B217"/>
    <mergeCell ref="C215:D217"/>
    <mergeCell ref="E215:F217"/>
    <mergeCell ref="G215:H217"/>
    <mergeCell ref="I215:J217"/>
    <mergeCell ref="K215:L217"/>
    <mergeCell ref="E175:F176"/>
    <mergeCell ref="G175:H176"/>
    <mergeCell ref="I175:J176"/>
    <mergeCell ref="K175:L176"/>
    <mergeCell ref="B186:B187"/>
    <mergeCell ref="C186:D187"/>
    <mergeCell ref="E186:F187"/>
    <mergeCell ref="G186:H187"/>
    <mergeCell ref="I186:J187"/>
    <mergeCell ref="K186:L187"/>
    <mergeCell ref="I177:J178"/>
    <mergeCell ref="K177:L178"/>
    <mergeCell ref="C180:D181"/>
    <mergeCell ref="C182:D185"/>
    <mergeCell ref="C177:D178"/>
    <mergeCell ref="K180:L181"/>
    <mergeCell ref="E182:F185"/>
    <mergeCell ref="G182:H185"/>
    <mergeCell ref="G222:H223"/>
    <mergeCell ref="I222:J223"/>
    <mergeCell ref="K222:L223"/>
    <mergeCell ref="C239:D240"/>
    <mergeCell ref="E239:F240"/>
    <mergeCell ref="G239:H240"/>
    <mergeCell ref="I239:J240"/>
    <mergeCell ref="K239:L240"/>
    <mergeCell ref="B168:B169"/>
    <mergeCell ref="C168:D169"/>
    <mergeCell ref="E168:F169"/>
    <mergeCell ref="G168:H169"/>
    <mergeCell ref="I168:J169"/>
    <mergeCell ref="K168:L169"/>
    <mergeCell ref="B170:B172"/>
    <mergeCell ref="C170:D172"/>
    <mergeCell ref="E170:F172"/>
    <mergeCell ref="G170:H172"/>
    <mergeCell ref="I170:J172"/>
    <mergeCell ref="K170:L172"/>
    <mergeCell ref="B173:B174"/>
    <mergeCell ref="B175:B176"/>
    <mergeCell ref="C173:D174"/>
    <mergeCell ref="C175:D176"/>
    <mergeCell ref="C209:D212"/>
    <mergeCell ref="E209:F212"/>
    <mergeCell ref="G209:H212"/>
    <mergeCell ref="I209:J212"/>
    <mergeCell ref="K209:L212"/>
    <mergeCell ref="E194:F195"/>
    <mergeCell ref="G194:H195"/>
    <mergeCell ref="I194:J195"/>
    <mergeCell ref="K194:L195"/>
    <mergeCell ref="C197:D197"/>
    <mergeCell ref="E197:F197"/>
    <mergeCell ref="G197:H197"/>
    <mergeCell ref="I197:J197"/>
    <mergeCell ref="K197:L197"/>
    <mergeCell ref="B208:L208"/>
    <mergeCell ref="B209:B212"/>
    <mergeCell ref="B205:B207"/>
    <mergeCell ref="B203:B204"/>
    <mergeCell ref="E203:F204"/>
    <mergeCell ref="G203:H204"/>
    <mergeCell ref="I203:J204"/>
    <mergeCell ref="B201:B202"/>
    <mergeCell ref="B199:B200"/>
    <mergeCell ref="C199:D200"/>
    <mergeCell ref="E190:F191"/>
    <mergeCell ref="G190:H191"/>
    <mergeCell ref="I190:J191"/>
    <mergeCell ref="K190:L191"/>
    <mergeCell ref="E192:F193"/>
    <mergeCell ref="G192:H193"/>
    <mergeCell ref="I192:J193"/>
    <mergeCell ref="K192:L193"/>
    <mergeCell ref="G205:H207"/>
    <mergeCell ref="I205:J207"/>
    <mergeCell ref="K205:L207"/>
    <mergeCell ref="K203:L204"/>
    <mergeCell ref="E205:F207"/>
    <mergeCell ref="E199:F200"/>
    <mergeCell ref="G199:H200"/>
    <mergeCell ref="I199:J200"/>
    <mergeCell ref="K199:L200"/>
    <mergeCell ref="E201:F202"/>
    <mergeCell ref="G201:H202"/>
    <mergeCell ref="I201:J202"/>
    <mergeCell ref="K201:L202"/>
    <mergeCell ref="B130:L130"/>
    <mergeCell ref="E164:F167"/>
    <mergeCell ref="G164:H167"/>
    <mergeCell ref="I164:J167"/>
    <mergeCell ref="K164:L167"/>
    <mergeCell ref="E177:F178"/>
    <mergeCell ref="G177:H178"/>
    <mergeCell ref="C152:D152"/>
    <mergeCell ref="E152:F152"/>
    <mergeCell ref="G152:H152"/>
    <mergeCell ref="I152:J152"/>
    <mergeCell ref="K152:L152"/>
    <mergeCell ref="C154:D155"/>
    <mergeCell ref="C156:D157"/>
    <mergeCell ref="C158:D159"/>
    <mergeCell ref="E154:F155"/>
    <mergeCell ref="G154:H155"/>
    <mergeCell ref="I154:J155"/>
    <mergeCell ref="K154:L155"/>
    <mergeCell ref="E156:F157"/>
    <mergeCell ref="G156:H157"/>
    <mergeCell ref="I156:J157"/>
    <mergeCell ref="K156:L157"/>
    <mergeCell ref="E158:F159"/>
    <mergeCell ref="B111:C111"/>
    <mergeCell ref="B112:C112"/>
    <mergeCell ref="B117:C117"/>
    <mergeCell ref="B118:C120"/>
    <mergeCell ref="B121:C121"/>
    <mergeCell ref="B122:C122"/>
    <mergeCell ref="B127:C127"/>
    <mergeCell ref="B113:C113"/>
    <mergeCell ref="B114:C114"/>
    <mergeCell ref="B115:C115"/>
    <mergeCell ref="B116:C116"/>
    <mergeCell ref="B123:C123"/>
    <mergeCell ref="B124:C124"/>
    <mergeCell ref="B125:C125"/>
    <mergeCell ref="B126:C126"/>
    <mergeCell ref="B88:C90"/>
    <mergeCell ref="B91:C91"/>
    <mergeCell ref="B92:C92"/>
    <mergeCell ref="B97:C97"/>
    <mergeCell ref="B98:C100"/>
    <mergeCell ref="B101:C101"/>
    <mergeCell ref="B102:C102"/>
    <mergeCell ref="B107:C107"/>
    <mergeCell ref="B108:C110"/>
    <mergeCell ref="B93:C93"/>
    <mergeCell ref="B94:C94"/>
    <mergeCell ref="B95:C95"/>
    <mergeCell ref="B96:C96"/>
    <mergeCell ref="B103:C103"/>
    <mergeCell ref="B104:C104"/>
    <mergeCell ref="B105:C105"/>
    <mergeCell ref="B106:C106"/>
    <mergeCell ref="B239:B240"/>
    <mergeCell ref="B235:B236"/>
    <mergeCell ref="B233:B234"/>
    <mergeCell ref="B227:B230"/>
    <mergeCell ref="B224:L224"/>
    <mergeCell ref="B225:B226"/>
    <mergeCell ref="B222:B223"/>
    <mergeCell ref="C225:D226"/>
    <mergeCell ref="E225:F226"/>
    <mergeCell ref="G225:H226"/>
    <mergeCell ref="I225:J226"/>
    <mergeCell ref="K225:L226"/>
    <mergeCell ref="C227:D230"/>
    <mergeCell ref="E227:F230"/>
    <mergeCell ref="G227:H230"/>
    <mergeCell ref="I227:J230"/>
    <mergeCell ref="K227:L230"/>
    <mergeCell ref="C233:D234"/>
    <mergeCell ref="E233:F234"/>
    <mergeCell ref="G233:H234"/>
    <mergeCell ref="I233:J234"/>
    <mergeCell ref="K233:L234"/>
    <mergeCell ref="C222:D223"/>
    <mergeCell ref="E222:F223"/>
    <mergeCell ref="C201:D202"/>
    <mergeCell ref="C203:D204"/>
    <mergeCell ref="C205:D207"/>
    <mergeCell ref="B192:B193"/>
    <mergeCell ref="B198:L198"/>
    <mergeCell ref="B164:B167"/>
    <mergeCell ref="B194:B195"/>
    <mergeCell ref="B190:B191"/>
    <mergeCell ref="B160:B162"/>
    <mergeCell ref="B163:L163"/>
    <mergeCell ref="B177:B178"/>
    <mergeCell ref="E160:F162"/>
    <mergeCell ref="G160:H162"/>
    <mergeCell ref="I160:J162"/>
    <mergeCell ref="K160:L162"/>
    <mergeCell ref="C164:D167"/>
    <mergeCell ref="C160:D162"/>
    <mergeCell ref="C192:D193"/>
    <mergeCell ref="C188:D189"/>
    <mergeCell ref="C190:D191"/>
    <mergeCell ref="C194:D195"/>
    <mergeCell ref="E180:F181"/>
    <mergeCell ref="G180:H181"/>
    <mergeCell ref="I180:J181"/>
    <mergeCell ref="B154:B155"/>
    <mergeCell ref="B153:L153"/>
    <mergeCell ref="B156:B157"/>
    <mergeCell ref="B158:B159"/>
    <mergeCell ref="B188:B189"/>
    <mergeCell ref="B180:B181"/>
    <mergeCell ref="B182:B185"/>
    <mergeCell ref="B179:L179"/>
    <mergeCell ref="B142:L142"/>
    <mergeCell ref="B147:L150"/>
    <mergeCell ref="B143:L145"/>
    <mergeCell ref="I158:J159"/>
    <mergeCell ref="K158:L159"/>
    <mergeCell ref="G158:H159"/>
    <mergeCell ref="I182:J185"/>
    <mergeCell ref="K182:L185"/>
    <mergeCell ref="E188:F189"/>
    <mergeCell ref="G188:H189"/>
    <mergeCell ref="I188:J189"/>
    <mergeCell ref="K188:L189"/>
    <mergeCell ref="E173:F174"/>
    <mergeCell ref="G173:H174"/>
    <mergeCell ref="I173:J174"/>
    <mergeCell ref="K173:L174"/>
    <mergeCell ref="D68:L77"/>
    <mergeCell ref="D78:L87"/>
    <mergeCell ref="D88:L97"/>
    <mergeCell ref="D38:L47"/>
    <mergeCell ref="D48:L57"/>
    <mergeCell ref="D58:L67"/>
    <mergeCell ref="B132:L134"/>
    <mergeCell ref="B136:L137"/>
    <mergeCell ref="B139:L140"/>
    <mergeCell ref="D98:L107"/>
    <mergeCell ref="D108:L117"/>
    <mergeCell ref="D118:L127"/>
    <mergeCell ref="B129:L129"/>
    <mergeCell ref="B38:C40"/>
    <mergeCell ref="B41:C41"/>
    <mergeCell ref="B87:C87"/>
    <mergeCell ref="B84:C84"/>
    <mergeCell ref="B85:C85"/>
    <mergeCell ref="B86:C86"/>
    <mergeCell ref="B42:C42"/>
    <mergeCell ref="B47:C47"/>
    <mergeCell ref="B48:C50"/>
    <mergeCell ref="B51:C51"/>
    <mergeCell ref="B52:C52"/>
    <mergeCell ref="B4:L4"/>
    <mergeCell ref="B5:L5"/>
    <mergeCell ref="B6:L6"/>
    <mergeCell ref="B8:L8"/>
    <mergeCell ref="B9:L9"/>
    <mergeCell ref="B10:L10"/>
    <mergeCell ref="B12:L12"/>
    <mergeCell ref="B15:L16"/>
    <mergeCell ref="D18:L27"/>
    <mergeCell ref="B23:C23"/>
    <mergeCell ref="B24:C24"/>
    <mergeCell ref="B25:C25"/>
    <mergeCell ref="B26:C26"/>
    <mergeCell ref="D28:L37"/>
    <mergeCell ref="B13:L13"/>
    <mergeCell ref="B18:C20"/>
    <mergeCell ref="B21:C21"/>
    <mergeCell ref="B22:C22"/>
    <mergeCell ref="B27:C27"/>
    <mergeCell ref="B28:C30"/>
    <mergeCell ref="B31:C31"/>
    <mergeCell ref="B32:C32"/>
    <mergeCell ref="B37:C37"/>
    <mergeCell ref="B33:C33"/>
    <mergeCell ref="B34:C34"/>
    <mergeCell ref="B35:C35"/>
    <mergeCell ref="B36:C36"/>
  </mergeCells>
  <dataValidations count="2">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18 D18 D28 D38 D48 D58 D68 D78 D88 D98 D108" xr:uid="{3F69375E-B278-4A96-A079-4E06286DBEE7}">
      <formula1>1000</formula1>
    </dataValidation>
    <dataValidation allowBlank="1" showInputMessage="1" showErrorMessage="1" sqref="C164:L178 C180:L195 C199:L207 C209:L223 C225:L240" xr:uid="{5F5543A0-E1FD-4ABD-99D9-82E02B5E37B5}"/>
  </dataValidations>
  <printOptions horizontalCentered="1"/>
  <pageMargins left="0.25" right="0.25" top="0.75" bottom="0.75" header="0.3" footer="0.3"/>
  <pageSetup scale="62" fitToHeight="0" orientation="portrait" r:id="rId1"/>
  <headerFooter>
    <oddFooter>&amp;L&amp;A</oddFooter>
  </headerFooter>
  <rowBreaks count="4" manualBreakCount="4">
    <brk id="57" min="1" max="11" man="1"/>
    <brk id="107" min="1" max="11" man="1"/>
    <brk id="151" min="1" max="11" man="1"/>
    <brk id="196"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086DB7-2D84-400A-92C5-AB46690FFBF9}">
          <x14:formula1>
            <xm:f>Variables!$D$54:$D$55</xm:f>
          </x14:formula1>
          <xm:sqref>B112 B122 B22 B32 B42 B52 B62 B72 B82 B92 B102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4285-30C5-4ABB-9B4D-1905B943FB53}">
  <sheetPr>
    <tabColor rgb="FF92D050"/>
    <pageSetUpPr fitToPage="1"/>
  </sheetPr>
  <dimension ref="A1:P56"/>
  <sheetViews>
    <sheetView showGridLines="0" zoomScaleNormal="100" zoomScaleSheetLayoutView="100" workbookViewId="0"/>
  </sheetViews>
  <sheetFormatPr defaultColWidth="9.140625" defaultRowHeight="14.25" x14ac:dyDescent="0.25"/>
  <cols>
    <col min="1" max="1" width="1.85546875" style="12" customWidth="1"/>
    <col min="2" max="2" width="14.5703125" style="19" customWidth="1"/>
    <col min="3" max="12" width="20.710937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744</v>
      </c>
      <c r="P1" s="2" t="s">
        <v>744</v>
      </c>
    </row>
    <row r="2" spans="1:16" x14ac:dyDescent="0.25">
      <c r="B2" s="20" t="str">
        <f>UPPER(IF(Intro!$G$21="English",O3,P3))</f>
        <v>PROTÉGÉ</v>
      </c>
      <c r="O2" s="3" t="s">
        <v>166</v>
      </c>
      <c r="P2" s="3" t="s">
        <v>167</v>
      </c>
    </row>
    <row r="3" spans="1:16" x14ac:dyDescent="0.25">
      <c r="B3" s="21"/>
      <c r="O3" s="8" t="s">
        <v>169</v>
      </c>
      <c r="P3" s="8" t="s">
        <v>168</v>
      </c>
    </row>
    <row r="4" spans="1:16" s="8" customFormat="1" x14ac:dyDescent="0.25">
      <c r="A4" s="13"/>
      <c r="B4" s="462" t="str">
        <f>Info!B4</f>
        <v>QUESTIONNAIRE À L’INTENTION DES PRODUCTEURS</v>
      </c>
      <c r="C4" s="463"/>
      <c r="D4" s="463"/>
      <c r="E4" s="463"/>
      <c r="F4" s="463"/>
      <c r="G4" s="463"/>
      <c r="H4" s="463"/>
      <c r="I4" s="463"/>
      <c r="J4" s="463"/>
      <c r="K4" s="463"/>
      <c r="L4" s="464"/>
      <c r="M4" s="15"/>
      <c r="N4" s="15"/>
      <c r="O4" s="14" t="s">
        <v>170</v>
      </c>
      <c r="P4" s="14" t="s">
        <v>171</v>
      </c>
    </row>
    <row r="5" spans="1:16" s="8" customFormat="1" x14ac:dyDescent="0.25">
      <c r="A5" s="13"/>
      <c r="B5" s="465" t="str">
        <f>Info!B5</f>
        <v>NQ-2026-005</v>
      </c>
      <c r="C5" s="466"/>
      <c r="D5" s="466"/>
      <c r="E5" s="466"/>
      <c r="F5" s="466"/>
      <c r="G5" s="466"/>
      <c r="H5" s="466"/>
      <c r="I5" s="466"/>
      <c r="J5" s="466"/>
      <c r="K5" s="466"/>
      <c r="L5" s="467"/>
      <c r="M5" s="15"/>
      <c r="N5" s="15"/>
      <c r="O5" s="14" t="str">
        <f>Variables!B2</f>
        <v>NQ-2026-005</v>
      </c>
      <c r="P5" s="14" t="str">
        <f>Variables!C2</f>
        <v>NQ-2026-005</v>
      </c>
    </row>
    <row r="6" spans="1:16" s="9" customFormat="1" x14ac:dyDescent="0.25">
      <c r="A6" s="13"/>
      <c r="B6" s="470" t="str">
        <f>Info!B6</f>
        <v>CERTAINS RAYONNAGES EN ACIER</v>
      </c>
      <c r="C6" s="471"/>
      <c r="D6" s="471"/>
      <c r="E6" s="471"/>
      <c r="F6" s="471"/>
      <c r="G6" s="471"/>
      <c r="H6" s="471"/>
      <c r="I6" s="471"/>
      <c r="J6" s="471"/>
      <c r="K6" s="471"/>
      <c r="L6" s="472"/>
      <c r="M6" s="14"/>
      <c r="N6" s="14"/>
      <c r="O6" s="10" t="str">
        <f>Variables!B3</f>
        <v>certain steel racks</v>
      </c>
      <c r="P6" s="10" t="str">
        <f>Variables!C3</f>
        <v>certains rayonnages en acier</v>
      </c>
    </row>
    <row r="7" spans="1:16" s="9" customFormat="1" x14ac:dyDescent="0.25">
      <c r="A7" s="13"/>
      <c r="B7" s="22"/>
      <c r="C7" s="23"/>
      <c r="D7" s="23"/>
      <c r="E7" s="23"/>
      <c r="F7" s="23"/>
      <c r="G7" s="23"/>
      <c r="H7" s="23"/>
      <c r="I7" s="23"/>
      <c r="J7" s="23"/>
      <c r="K7" s="23"/>
      <c r="L7" s="23"/>
      <c r="O7" s="10"/>
      <c r="P7" s="10"/>
    </row>
    <row r="8" spans="1:16" x14ac:dyDescent="0.25">
      <c r="B8" s="453" t="str">
        <f>UPPER(IF(Intro!$G$21="English",O8,P8))</f>
        <v>PROJETS</v>
      </c>
      <c r="C8" s="454"/>
      <c r="D8" s="454"/>
      <c r="E8" s="454"/>
      <c r="F8" s="454"/>
      <c r="G8" s="454"/>
      <c r="H8" s="454"/>
      <c r="I8" s="454"/>
      <c r="J8" s="454"/>
      <c r="K8" s="454"/>
      <c r="L8" s="455"/>
      <c r="M8" s="2"/>
      <c r="O8" s="2" t="s">
        <v>887</v>
      </c>
      <c r="P8" s="2" t="s">
        <v>888</v>
      </c>
    </row>
    <row r="9" spans="1:16" x14ac:dyDescent="0.25">
      <c r="B9" s="24"/>
      <c r="C9" s="26"/>
      <c r="D9" s="26"/>
      <c r="E9" s="26"/>
      <c r="F9" s="26"/>
      <c r="G9" s="26"/>
      <c r="H9" s="26"/>
      <c r="I9" s="26"/>
      <c r="J9" s="26"/>
      <c r="K9" s="26"/>
      <c r="L9" s="27"/>
      <c r="M9" s="2"/>
      <c r="O9" s="2" t="s">
        <v>909</v>
      </c>
      <c r="P9" s="2" t="s">
        <v>910</v>
      </c>
    </row>
    <row r="10" spans="1:16" x14ac:dyDescent="0.25">
      <c r="B10" s="24"/>
      <c r="C10" s="26"/>
      <c r="D10" s="26"/>
      <c r="E10" s="26"/>
      <c r="F10" s="26"/>
      <c r="G10" s="26"/>
      <c r="H10" s="26"/>
      <c r="I10" s="26"/>
      <c r="J10" s="26"/>
      <c r="K10" s="26"/>
      <c r="L10" s="27"/>
      <c r="M10" s="2"/>
    </row>
    <row r="11" spans="1:16" ht="31.5" customHeight="1" x14ac:dyDescent="0.25">
      <c r="B11" s="456" t="str">
        <f>IF(Intro!$G$21="English",O11,P11)</f>
        <v>Fournir les renseignements suivants pour vos dix plus importantes ventes individuelles en volume, portant sur des rayonnages en acier produits au pays, réalisées entre le 1er janvier 2023 et le 31 mars 2026.</v>
      </c>
      <c r="C11" s="457"/>
      <c r="D11" s="457"/>
      <c r="E11" s="457"/>
      <c r="F11" s="457"/>
      <c r="G11" s="457"/>
      <c r="H11" s="457"/>
      <c r="I11" s="457"/>
      <c r="J11" s="457"/>
      <c r="K11" s="457"/>
      <c r="L11" s="458"/>
      <c r="M11" s="2"/>
      <c r="O11" s="11" t="s">
        <v>1076</v>
      </c>
      <c r="P11" s="2" t="s">
        <v>1077</v>
      </c>
    </row>
    <row r="12" spans="1:16" ht="15" customHeight="1" x14ac:dyDescent="0.25">
      <c r="B12" s="855" t="str">
        <f>IF(Intro!$G$21="English",O9,P9)</f>
        <v>Projet</v>
      </c>
      <c r="C12" s="840" t="str">
        <f>IF(Intro!$G$21="English",O12,P12)</f>
        <v>Acheteur de rayonnages en acier</v>
      </c>
      <c r="D12" s="841"/>
      <c r="E12" s="850" t="str">
        <f>IF(Intro!$G$21="English",O13,P13)</f>
        <v>Maître d’ouvrage</v>
      </c>
      <c r="F12" s="851"/>
      <c r="G12" s="862" t="str">
        <f>IF(Intro!$G$21="English",O14,P14)</f>
        <v>Emplacement du projet</v>
      </c>
      <c r="H12" s="851"/>
      <c r="I12" s="862" t="str">
        <f>IF(Intro!$G$21="English",O15,P15)</f>
        <v>Date de présentation de la soumission</v>
      </c>
      <c r="J12" s="851"/>
      <c r="K12" s="862" t="str">
        <f>IF(Intro!$G$21="English",O16,P16)</f>
        <v>Date d’attribution du contrat</v>
      </c>
      <c r="L12" s="863"/>
      <c r="M12" s="2"/>
      <c r="O12" t="s">
        <v>889</v>
      </c>
      <c r="P12" t="s">
        <v>890</v>
      </c>
    </row>
    <row r="13" spans="1:16" ht="14.25" customHeight="1" x14ac:dyDescent="0.25">
      <c r="B13" s="855"/>
      <c r="C13" s="842"/>
      <c r="D13" s="843"/>
      <c r="E13" s="842"/>
      <c r="F13" s="852"/>
      <c r="G13" s="848"/>
      <c r="H13" s="852"/>
      <c r="I13" s="848"/>
      <c r="J13" s="852"/>
      <c r="K13" s="848"/>
      <c r="L13" s="843"/>
      <c r="M13" s="2"/>
      <c r="O13" s="8" t="s">
        <v>891</v>
      </c>
      <c r="P13" s="8" t="s">
        <v>892</v>
      </c>
    </row>
    <row r="14" spans="1:16" x14ac:dyDescent="0.25">
      <c r="B14" s="855"/>
      <c r="C14" s="842"/>
      <c r="D14" s="843"/>
      <c r="E14" s="842"/>
      <c r="F14" s="852"/>
      <c r="G14" s="848"/>
      <c r="H14" s="852"/>
      <c r="I14" s="848"/>
      <c r="J14" s="852"/>
      <c r="K14" s="848"/>
      <c r="L14" s="843"/>
      <c r="M14" s="2"/>
      <c r="O14" s="8" t="s">
        <v>893</v>
      </c>
      <c r="P14" s="8" t="s">
        <v>894</v>
      </c>
    </row>
    <row r="15" spans="1:16" x14ac:dyDescent="0.25">
      <c r="B15" s="855"/>
      <c r="C15" s="842"/>
      <c r="D15" s="843"/>
      <c r="E15" s="842"/>
      <c r="F15" s="852"/>
      <c r="G15" s="848"/>
      <c r="H15" s="852"/>
      <c r="I15" s="848"/>
      <c r="J15" s="852"/>
      <c r="K15" s="848"/>
      <c r="L15" s="843"/>
      <c r="M15" s="2"/>
      <c r="O15" s="8" t="s">
        <v>895</v>
      </c>
      <c r="P15" s="8" t="s">
        <v>896</v>
      </c>
    </row>
    <row r="16" spans="1:16" ht="15" x14ac:dyDescent="0.25">
      <c r="B16" s="855"/>
      <c r="C16" s="842"/>
      <c r="D16" s="843"/>
      <c r="E16" s="842"/>
      <c r="F16" s="852"/>
      <c r="G16" s="848"/>
      <c r="H16" s="852"/>
      <c r="I16" s="848"/>
      <c r="J16" s="852"/>
      <c r="K16" s="848"/>
      <c r="L16" s="843"/>
      <c r="M16" s="2"/>
      <c r="O16" t="s">
        <v>897</v>
      </c>
      <c r="P16" s="307" t="s">
        <v>898</v>
      </c>
    </row>
    <row r="17" spans="2:16" ht="15" x14ac:dyDescent="0.25">
      <c r="B17" s="855"/>
      <c r="C17" s="842"/>
      <c r="D17" s="843"/>
      <c r="E17" s="842"/>
      <c r="F17" s="852"/>
      <c r="G17" s="848"/>
      <c r="H17" s="852"/>
      <c r="I17" s="848"/>
      <c r="J17" s="852"/>
      <c r="K17" s="848"/>
      <c r="L17" s="843"/>
      <c r="M17" s="2"/>
      <c r="O17" t="s">
        <v>899</v>
      </c>
      <c r="P17" s="307" t="s">
        <v>900</v>
      </c>
    </row>
    <row r="18" spans="2:16" x14ac:dyDescent="0.25">
      <c r="B18" s="855"/>
      <c r="C18" s="844"/>
      <c r="D18" s="845"/>
      <c r="E18" s="844"/>
      <c r="F18" s="853"/>
      <c r="G18" s="849"/>
      <c r="H18" s="853"/>
      <c r="I18" s="849"/>
      <c r="J18" s="853"/>
      <c r="K18" s="849"/>
      <c r="L18" s="845"/>
      <c r="M18" s="2"/>
      <c r="O18" s="8" t="s">
        <v>901</v>
      </c>
      <c r="P18" s="8" t="s">
        <v>902</v>
      </c>
    </row>
    <row r="19" spans="2:16" ht="39.950000000000003" customHeight="1" x14ac:dyDescent="0.25">
      <c r="B19" s="306">
        <v>1</v>
      </c>
      <c r="C19" s="836"/>
      <c r="D19" s="837"/>
      <c r="E19" s="836"/>
      <c r="F19" s="837"/>
      <c r="G19" s="836"/>
      <c r="H19" s="837"/>
      <c r="I19" s="836"/>
      <c r="J19" s="837"/>
      <c r="K19" s="836"/>
      <c r="L19" s="837"/>
      <c r="M19" s="2"/>
      <c r="O19" t="s">
        <v>903</v>
      </c>
      <c r="P19" s="307" t="s">
        <v>904</v>
      </c>
    </row>
    <row r="20" spans="2:16" ht="39.950000000000003" customHeight="1" x14ac:dyDescent="0.25">
      <c r="B20" s="306">
        <v>2</v>
      </c>
      <c r="C20" s="836"/>
      <c r="D20" s="837"/>
      <c r="E20" s="836"/>
      <c r="F20" s="837"/>
      <c r="G20" s="836"/>
      <c r="H20" s="837"/>
      <c r="I20" s="836"/>
      <c r="J20" s="837"/>
      <c r="K20" s="836"/>
      <c r="L20" s="837"/>
      <c r="M20" s="2"/>
      <c r="O20" t="s">
        <v>905</v>
      </c>
      <c r="P20" s="307" t="s">
        <v>906</v>
      </c>
    </row>
    <row r="21" spans="2:16" ht="39.950000000000003" customHeight="1" x14ac:dyDescent="0.25">
      <c r="B21" s="306">
        <v>3</v>
      </c>
      <c r="C21" s="836"/>
      <c r="D21" s="837"/>
      <c r="E21" s="836"/>
      <c r="F21" s="837"/>
      <c r="G21" s="836"/>
      <c r="H21" s="837"/>
      <c r="I21" s="836"/>
      <c r="J21" s="837"/>
      <c r="K21" s="836"/>
      <c r="L21" s="837"/>
      <c r="M21" s="2"/>
      <c r="O21" t="s">
        <v>907</v>
      </c>
      <c r="P21" s="307" t="s">
        <v>908</v>
      </c>
    </row>
    <row r="22" spans="2:16" ht="39.950000000000003" customHeight="1" x14ac:dyDescent="0.25">
      <c r="B22" s="306">
        <v>4</v>
      </c>
      <c r="C22" s="836"/>
      <c r="D22" s="837"/>
      <c r="E22" s="836"/>
      <c r="F22" s="837"/>
      <c r="G22" s="836"/>
      <c r="H22" s="837"/>
      <c r="I22" s="836"/>
      <c r="J22" s="837"/>
      <c r="K22" s="836"/>
      <c r="L22" s="837"/>
      <c r="M22" s="2"/>
      <c r="O22" t="s">
        <v>911</v>
      </c>
      <c r="P22" s="307" t="s">
        <v>912</v>
      </c>
    </row>
    <row r="23" spans="2:16" ht="39.950000000000003" customHeight="1" x14ac:dyDescent="0.25">
      <c r="B23" s="306">
        <v>5</v>
      </c>
      <c r="C23" s="836"/>
      <c r="D23" s="837"/>
      <c r="E23" s="836"/>
      <c r="F23" s="837"/>
      <c r="G23" s="836"/>
      <c r="H23" s="837"/>
      <c r="I23" s="836"/>
      <c r="J23" s="837"/>
      <c r="K23" s="836"/>
      <c r="L23" s="837"/>
      <c r="M23" s="2"/>
      <c r="O23" t="s">
        <v>1058</v>
      </c>
      <c r="P23" s="307" t="s">
        <v>913</v>
      </c>
    </row>
    <row r="24" spans="2:16" ht="39.950000000000003" customHeight="1" x14ac:dyDescent="0.25">
      <c r="B24" s="306">
        <v>6</v>
      </c>
      <c r="C24" s="836"/>
      <c r="D24" s="837"/>
      <c r="E24" s="836"/>
      <c r="F24" s="837"/>
      <c r="G24" s="836"/>
      <c r="H24" s="837"/>
      <c r="I24" s="836"/>
      <c r="J24" s="837"/>
      <c r="K24" s="836"/>
      <c r="L24" s="837"/>
      <c r="M24" s="2"/>
    </row>
    <row r="25" spans="2:16" ht="39.950000000000003" customHeight="1" x14ac:dyDescent="0.25">
      <c r="B25" s="306">
        <v>7</v>
      </c>
      <c r="C25" s="836"/>
      <c r="D25" s="837"/>
      <c r="E25" s="836"/>
      <c r="F25" s="837"/>
      <c r="G25" s="836"/>
      <c r="H25" s="837"/>
      <c r="I25" s="836"/>
      <c r="J25" s="837"/>
      <c r="K25" s="836"/>
      <c r="L25" s="837"/>
      <c r="M25" s="2"/>
    </row>
    <row r="26" spans="2:16" ht="39.950000000000003" customHeight="1" x14ac:dyDescent="0.25">
      <c r="B26" s="306">
        <v>8</v>
      </c>
      <c r="C26" s="836"/>
      <c r="D26" s="837"/>
      <c r="E26" s="836"/>
      <c r="F26" s="837"/>
      <c r="G26" s="836"/>
      <c r="H26" s="837"/>
      <c r="I26" s="836"/>
      <c r="J26" s="837"/>
      <c r="K26" s="836"/>
      <c r="L26" s="837"/>
      <c r="M26" s="2"/>
      <c r="O26" s="11"/>
    </row>
    <row r="27" spans="2:16" ht="39.950000000000003" customHeight="1" x14ac:dyDescent="0.25">
      <c r="B27" s="306">
        <v>9</v>
      </c>
      <c r="C27" s="836"/>
      <c r="D27" s="837"/>
      <c r="E27" s="836"/>
      <c r="F27" s="837"/>
      <c r="G27" s="836"/>
      <c r="H27" s="837"/>
      <c r="I27" s="836"/>
      <c r="J27" s="837"/>
      <c r="K27" s="836"/>
      <c r="L27" s="837"/>
      <c r="M27" s="2"/>
      <c r="O27" s="11"/>
    </row>
    <row r="28" spans="2:16" ht="39.950000000000003" customHeight="1" x14ac:dyDescent="0.25">
      <c r="B28" s="306">
        <v>10</v>
      </c>
      <c r="C28" s="836"/>
      <c r="D28" s="837"/>
      <c r="E28" s="836"/>
      <c r="F28" s="837"/>
      <c r="G28" s="836"/>
      <c r="H28" s="837"/>
      <c r="I28" s="836"/>
      <c r="J28" s="837"/>
      <c r="K28" s="836"/>
      <c r="L28" s="837"/>
      <c r="M28" s="2"/>
      <c r="O28" s="11"/>
    </row>
    <row r="29" spans="2:16" x14ac:dyDescent="0.25">
      <c r="B29" s="855" t="str">
        <f>IF(Intro!$G$21="English",O9,P9)</f>
        <v>Projet</v>
      </c>
      <c r="C29" s="840">
        <f>IF(Intro!$G$21="English",O17,K17)</f>
        <v>0</v>
      </c>
      <c r="D29" s="854"/>
      <c r="E29" s="840" t="str">
        <f>IF(Intro!$G$21="English",O18,P18)</f>
        <v>Date de la dernière livraison</v>
      </c>
      <c r="F29" s="854"/>
      <c r="G29" s="847" t="str">
        <f>IF(Intro!$G$21="English",O19,P19)</f>
        <v>Volume de rayonnages en acier (tonnes)</v>
      </c>
      <c r="H29" s="841"/>
      <c r="I29" s="840" t="str">
        <f>IF(Intro!$G$21="English",O20,P20)</f>
        <v>Prix de vente des rayonnages en acier – matériaux seulement (CAD)</v>
      </c>
      <c r="J29" s="841"/>
      <c r="K29" s="840" t="str">
        <f>IF(Intro!$G$21="English",O21,P21)</f>
        <v>Indiquer si la livraison était incluse ou exclue du prix de vente déclaré</v>
      </c>
      <c r="L29" s="841"/>
      <c r="M29" s="2"/>
      <c r="O29" s="11"/>
    </row>
    <row r="30" spans="2:16" x14ac:dyDescent="0.25">
      <c r="B30" s="855"/>
      <c r="C30" s="842"/>
      <c r="D30" s="852"/>
      <c r="E30" s="842"/>
      <c r="F30" s="852"/>
      <c r="G30" s="848"/>
      <c r="H30" s="843"/>
      <c r="I30" s="842"/>
      <c r="J30" s="843"/>
      <c r="K30" s="842"/>
      <c r="L30" s="843"/>
      <c r="M30" s="2"/>
      <c r="O30" s="11"/>
    </row>
    <row r="31" spans="2:16" x14ac:dyDescent="0.25">
      <c r="B31" s="855"/>
      <c r="C31" s="842"/>
      <c r="D31" s="852"/>
      <c r="E31" s="842"/>
      <c r="F31" s="852"/>
      <c r="G31" s="848"/>
      <c r="H31" s="843"/>
      <c r="I31" s="842"/>
      <c r="J31" s="843"/>
      <c r="K31" s="842"/>
      <c r="L31" s="843"/>
      <c r="M31" s="2"/>
      <c r="O31" s="11"/>
    </row>
    <row r="32" spans="2:16" x14ac:dyDescent="0.25">
      <c r="B32" s="855"/>
      <c r="C32" s="842"/>
      <c r="D32" s="852"/>
      <c r="E32" s="842"/>
      <c r="F32" s="852"/>
      <c r="G32" s="848"/>
      <c r="H32" s="843"/>
      <c r="I32" s="842"/>
      <c r="J32" s="843"/>
      <c r="K32" s="842"/>
      <c r="L32" s="843"/>
      <c r="M32" s="2"/>
      <c r="O32" s="11"/>
    </row>
    <row r="33" spans="2:15" x14ac:dyDescent="0.25">
      <c r="B33" s="855"/>
      <c r="C33" s="842"/>
      <c r="D33" s="852"/>
      <c r="E33" s="842"/>
      <c r="F33" s="852"/>
      <c r="G33" s="848"/>
      <c r="H33" s="843"/>
      <c r="I33" s="842"/>
      <c r="J33" s="843"/>
      <c r="K33" s="842"/>
      <c r="L33" s="843"/>
      <c r="M33" s="2"/>
      <c r="O33" s="11"/>
    </row>
    <row r="34" spans="2:15" x14ac:dyDescent="0.25">
      <c r="B34" s="855"/>
      <c r="C34" s="842"/>
      <c r="D34" s="852"/>
      <c r="E34" s="842"/>
      <c r="F34" s="852"/>
      <c r="G34" s="848"/>
      <c r="H34" s="843"/>
      <c r="I34" s="842"/>
      <c r="J34" s="843"/>
      <c r="K34" s="842"/>
      <c r="L34" s="843"/>
      <c r="M34" s="2"/>
      <c r="O34" s="11"/>
    </row>
    <row r="35" spans="2:15" x14ac:dyDescent="0.25">
      <c r="B35" s="855"/>
      <c r="C35" s="844"/>
      <c r="D35" s="853"/>
      <c r="E35" s="844"/>
      <c r="F35" s="853"/>
      <c r="G35" s="849"/>
      <c r="H35" s="845"/>
      <c r="I35" s="844"/>
      <c r="J35" s="845"/>
      <c r="K35" s="844"/>
      <c r="L35" s="845"/>
      <c r="M35" s="2"/>
      <c r="O35" s="11"/>
    </row>
    <row r="36" spans="2:15" ht="39.950000000000003" customHeight="1" x14ac:dyDescent="0.25">
      <c r="B36" s="306">
        <v>1</v>
      </c>
      <c r="C36" s="836"/>
      <c r="D36" s="837"/>
      <c r="E36" s="836"/>
      <c r="F36" s="837"/>
      <c r="G36" s="846"/>
      <c r="H36" s="839"/>
      <c r="I36" s="838"/>
      <c r="J36" s="839"/>
      <c r="K36" s="836"/>
      <c r="L36" s="837"/>
      <c r="M36" s="2"/>
      <c r="O36" s="11"/>
    </row>
    <row r="37" spans="2:15" ht="39.950000000000003" customHeight="1" x14ac:dyDescent="0.25">
      <c r="B37" s="306">
        <v>2</v>
      </c>
      <c r="C37" s="836"/>
      <c r="D37" s="837"/>
      <c r="E37" s="836"/>
      <c r="F37" s="837"/>
      <c r="G37" s="846"/>
      <c r="H37" s="839"/>
      <c r="I37" s="838"/>
      <c r="J37" s="839"/>
      <c r="K37" s="836"/>
      <c r="L37" s="837"/>
      <c r="M37" s="2"/>
      <c r="O37" s="11"/>
    </row>
    <row r="38" spans="2:15" ht="39.950000000000003" customHeight="1" x14ac:dyDescent="0.25">
      <c r="B38" s="306">
        <v>3</v>
      </c>
      <c r="C38" s="836"/>
      <c r="D38" s="837"/>
      <c r="E38" s="836"/>
      <c r="F38" s="837"/>
      <c r="G38" s="846"/>
      <c r="H38" s="839"/>
      <c r="I38" s="838"/>
      <c r="J38" s="839"/>
      <c r="K38" s="836"/>
      <c r="L38" s="837"/>
      <c r="M38" s="2"/>
      <c r="O38" s="11"/>
    </row>
    <row r="39" spans="2:15" ht="39.950000000000003" customHeight="1" x14ac:dyDescent="0.25">
      <c r="B39" s="306">
        <v>4</v>
      </c>
      <c r="C39" s="836"/>
      <c r="D39" s="837"/>
      <c r="E39" s="836"/>
      <c r="F39" s="837"/>
      <c r="G39" s="846"/>
      <c r="H39" s="839"/>
      <c r="I39" s="838"/>
      <c r="J39" s="839"/>
      <c r="K39" s="836"/>
      <c r="L39" s="837"/>
      <c r="M39" s="2"/>
      <c r="O39" s="11"/>
    </row>
    <row r="40" spans="2:15" ht="39.950000000000003" customHeight="1" x14ac:dyDescent="0.25">
      <c r="B40" s="306">
        <v>5</v>
      </c>
      <c r="C40" s="836"/>
      <c r="D40" s="837"/>
      <c r="E40" s="836"/>
      <c r="F40" s="837"/>
      <c r="G40" s="846"/>
      <c r="H40" s="839"/>
      <c r="I40" s="838"/>
      <c r="J40" s="839"/>
      <c r="K40" s="836"/>
      <c r="L40" s="837"/>
      <c r="M40" s="2"/>
      <c r="O40" s="11"/>
    </row>
    <row r="41" spans="2:15" ht="39.950000000000003" customHeight="1" x14ac:dyDescent="0.25">
      <c r="B41" s="306">
        <v>6</v>
      </c>
      <c r="C41" s="836"/>
      <c r="D41" s="837"/>
      <c r="E41" s="836"/>
      <c r="F41" s="837"/>
      <c r="G41" s="846"/>
      <c r="H41" s="839"/>
      <c r="I41" s="838"/>
      <c r="J41" s="839"/>
      <c r="K41" s="836"/>
      <c r="L41" s="837"/>
      <c r="M41" s="2"/>
      <c r="O41" s="11"/>
    </row>
    <row r="42" spans="2:15" ht="39.950000000000003" customHeight="1" x14ac:dyDescent="0.25">
      <c r="B42" s="306">
        <v>7</v>
      </c>
      <c r="C42" s="836"/>
      <c r="D42" s="837"/>
      <c r="E42" s="836"/>
      <c r="F42" s="837"/>
      <c r="G42" s="846"/>
      <c r="H42" s="839"/>
      <c r="I42" s="838"/>
      <c r="J42" s="839"/>
      <c r="K42" s="836"/>
      <c r="L42" s="837"/>
      <c r="M42" s="2"/>
      <c r="O42" s="11"/>
    </row>
    <row r="43" spans="2:15" ht="39.950000000000003" customHeight="1" x14ac:dyDescent="0.25">
      <c r="B43" s="306">
        <v>8</v>
      </c>
      <c r="C43" s="836"/>
      <c r="D43" s="837"/>
      <c r="E43" s="836"/>
      <c r="F43" s="837"/>
      <c r="G43" s="846"/>
      <c r="H43" s="839"/>
      <c r="I43" s="838"/>
      <c r="J43" s="839"/>
      <c r="K43" s="836"/>
      <c r="L43" s="837"/>
      <c r="M43" s="2"/>
      <c r="O43" s="11"/>
    </row>
    <row r="44" spans="2:15" ht="39.950000000000003" customHeight="1" x14ac:dyDescent="0.25">
      <c r="B44" s="306">
        <v>9</v>
      </c>
      <c r="C44" s="836"/>
      <c r="D44" s="837"/>
      <c r="E44" s="836"/>
      <c r="F44" s="837"/>
      <c r="G44" s="846"/>
      <c r="H44" s="839"/>
      <c r="I44" s="838"/>
      <c r="J44" s="839"/>
      <c r="K44" s="836"/>
      <c r="L44" s="837"/>
      <c r="M44" s="2"/>
      <c r="O44" s="11"/>
    </row>
    <row r="45" spans="2:15" ht="39.950000000000003" customHeight="1" x14ac:dyDescent="0.25">
      <c r="B45" s="306">
        <v>10</v>
      </c>
      <c r="C45" s="836"/>
      <c r="D45" s="837"/>
      <c r="E45" s="836"/>
      <c r="F45" s="837"/>
      <c r="G45" s="846"/>
      <c r="H45" s="839"/>
      <c r="I45" s="838"/>
      <c r="J45" s="839"/>
      <c r="K45" s="836"/>
      <c r="L45" s="837"/>
      <c r="M45" s="2"/>
      <c r="O45" s="11"/>
    </row>
    <row r="46" spans="2:15" ht="72" customHeight="1" x14ac:dyDescent="0.25">
      <c r="B46" s="308" t="str">
        <f>B12</f>
        <v>Projet</v>
      </c>
      <c r="C46" s="859" t="str">
        <f>IF(Intro!$G$21="English",O22,P22)</f>
        <v>Détail des matériaux fournis (p. ex. nombre de cadres, nombre de poutres, etc.)</v>
      </c>
      <c r="D46" s="860"/>
      <c r="E46" s="860"/>
      <c r="F46" s="860"/>
      <c r="G46" s="860"/>
      <c r="H46" s="860"/>
      <c r="I46" s="860"/>
      <c r="J46" s="861"/>
      <c r="K46" s="859" t="str">
        <f>IF(Intro!$G$21="English",O23,P23)</f>
        <v>Confirmer que le coût des services, y compris l’installation et l’ingénierie, a été exclu de votre prix de vente (après livraison).</v>
      </c>
      <c r="L46" s="861"/>
      <c r="M46" s="2"/>
      <c r="O46" s="11"/>
    </row>
    <row r="47" spans="2:15" ht="20.100000000000001" customHeight="1" x14ac:dyDescent="0.25">
      <c r="B47" s="306">
        <v>1</v>
      </c>
      <c r="C47" s="856"/>
      <c r="D47" s="857"/>
      <c r="E47" s="857"/>
      <c r="F47" s="857"/>
      <c r="G47" s="857"/>
      <c r="H47" s="857"/>
      <c r="I47" s="857"/>
      <c r="J47" s="858"/>
      <c r="K47" s="836"/>
      <c r="L47" s="837"/>
      <c r="M47" s="2"/>
      <c r="O47" s="11"/>
    </row>
    <row r="48" spans="2:15" ht="20.100000000000001" customHeight="1" x14ac:dyDescent="0.25">
      <c r="B48" s="306">
        <v>2</v>
      </c>
      <c r="C48" s="856"/>
      <c r="D48" s="857"/>
      <c r="E48" s="857"/>
      <c r="F48" s="857"/>
      <c r="G48" s="857"/>
      <c r="H48" s="857"/>
      <c r="I48" s="857"/>
      <c r="J48" s="858"/>
      <c r="K48" s="836"/>
      <c r="L48" s="837"/>
      <c r="M48" s="2"/>
      <c r="O48" s="11"/>
    </row>
    <row r="49" spans="2:15" ht="20.100000000000001" customHeight="1" x14ac:dyDescent="0.25">
      <c r="B49" s="306">
        <v>3</v>
      </c>
      <c r="C49" s="856"/>
      <c r="D49" s="857"/>
      <c r="E49" s="857"/>
      <c r="F49" s="857"/>
      <c r="G49" s="857"/>
      <c r="H49" s="857"/>
      <c r="I49" s="857"/>
      <c r="J49" s="858"/>
      <c r="K49" s="836"/>
      <c r="L49" s="837"/>
      <c r="M49" s="2"/>
    </row>
    <row r="50" spans="2:15" ht="20.100000000000001" customHeight="1" x14ac:dyDescent="0.25">
      <c r="B50" s="306">
        <v>4</v>
      </c>
      <c r="C50" s="856"/>
      <c r="D50" s="857"/>
      <c r="E50" s="857"/>
      <c r="F50" s="857"/>
      <c r="G50" s="857"/>
      <c r="H50" s="857"/>
      <c r="I50" s="857"/>
      <c r="J50" s="858"/>
      <c r="K50" s="836"/>
      <c r="L50" s="837"/>
      <c r="M50" s="2"/>
    </row>
    <row r="51" spans="2:15" ht="20.100000000000001" customHeight="1" x14ac:dyDescent="0.25">
      <c r="B51" s="306">
        <v>5</v>
      </c>
      <c r="C51" s="856"/>
      <c r="D51" s="857"/>
      <c r="E51" s="857"/>
      <c r="F51" s="857"/>
      <c r="G51" s="857"/>
      <c r="H51" s="857"/>
      <c r="I51" s="857"/>
      <c r="J51" s="858"/>
      <c r="K51" s="836"/>
      <c r="L51" s="837"/>
      <c r="M51" s="2"/>
      <c r="O51" s="11"/>
    </row>
    <row r="52" spans="2:15" ht="20.100000000000001" customHeight="1" x14ac:dyDescent="0.25">
      <c r="B52" s="306">
        <v>6</v>
      </c>
      <c r="C52" s="856"/>
      <c r="D52" s="857"/>
      <c r="E52" s="857"/>
      <c r="F52" s="857"/>
      <c r="G52" s="857"/>
      <c r="H52" s="857"/>
      <c r="I52" s="857"/>
      <c r="J52" s="858"/>
      <c r="K52" s="836"/>
      <c r="L52" s="837"/>
      <c r="M52" s="2"/>
      <c r="O52" s="11"/>
    </row>
    <row r="53" spans="2:15" ht="20.100000000000001" customHeight="1" x14ac:dyDescent="0.25">
      <c r="B53" s="306">
        <v>7</v>
      </c>
      <c r="C53" s="856"/>
      <c r="D53" s="857"/>
      <c r="E53" s="857"/>
      <c r="F53" s="857"/>
      <c r="G53" s="857"/>
      <c r="H53" s="857"/>
      <c r="I53" s="857"/>
      <c r="J53" s="858"/>
      <c r="K53" s="836"/>
      <c r="L53" s="837"/>
      <c r="M53" s="2"/>
      <c r="O53" s="11"/>
    </row>
    <row r="54" spans="2:15" ht="20.100000000000001" customHeight="1" x14ac:dyDescent="0.25">
      <c r="B54" s="306">
        <v>8</v>
      </c>
      <c r="C54" s="856"/>
      <c r="D54" s="857"/>
      <c r="E54" s="857"/>
      <c r="F54" s="857"/>
      <c r="G54" s="857"/>
      <c r="H54" s="857"/>
      <c r="I54" s="857"/>
      <c r="J54" s="858"/>
      <c r="K54" s="836"/>
      <c r="L54" s="837"/>
      <c r="M54" s="2"/>
      <c r="O54" s="11"/>
    </row>
    <row r="55" spans="2:15" ht="20.100000000000001" customHeight="1" x14ac:dyDescent="0.25">
      <c r="B55" s="306">
        <v>9</v>
      </c>
      <c r="C55" s="856"/>
      <c r="D55" s="857"/>
      <c r="E55" s="857"/>
      <c r="F55" s="857"/>
      <c r="G55" s="857"/>
      <c r="H55" s="857"/>
      <c r="I55" s="857"/>
      <c r="J55" s="858"/>
      <c r="K55" s="836"/>
      <c r="L55" s="837"/>
      <c r="M55" s="2"/>
      <c r="O55" s="11"/>
    </row>
    <row r="56" spans="2:15" ht="20.100000000000001" customHeight="1" x14ac:dyDescent="0.25">
      <c r="B56" s="306">
        <v>10</v>
      </c>
      <c r="C56" s="856"/>
      <c r="D56" s="857"/>
      <c r="E56" s="857"/>
      <c r="F56" s="857"/>
      <c r="G56" s="857"/>
      <c r="H56" s="857"/>
      <c r="I56" s="857"/>
      <c r="J56" s="858"/>
      <c r="K56" s="836"/>
      <c r="L56" s="837"/>
      <c r="M56" s="2"/>
      <c r="O56" s="11"/>
    </row>
  </sheetData>
  <sheetProtection algorithmName="SHA-512" hashValue="iewehKD1CqM86jD5THX+bVv0NQzjRLVRVv3d9Q318S6/Az+NoDF+iNbH2AbvCzhoX3PhI0oui5zJ/sPTFoDfwQ==" saltValue="g19s76pPPm3fhBfDODRVpg==" spinCount="100000" sheet="1" objects="1" scenarios="1" selectLockedCells="1"/>
  <mergeCells count="139">
    <mergeCell ref="E42:F42"/>
    <mergeCell ref="G42:H42"/>
    <mergeCell ref="K39:L39"/>
    <mergeCell ref="K40:L40"/>
    <mergeCell ref="K41:L41"/>
    <mergeCell ref="K42:L42"/>
    <mergeCell ref="K43:L43"/>
    <mergeCell ref="K44:L44"/>
    <mergeCell ref="G39:H39"/>
    <mergeCell ref="I37:J37"/>
    <mergeCell ref="K56:L56"/>
    <mergeCell ref="C47:J47"/>
    <mergeCell ref="C56:J56"/>
    <mergeCell ref="K46:L46"/>
    <mergeCell ref="K47:L47"/>
    <mergeCell ref="K48:L48"/>
    <mergeCell ref="K49:L49"/>
    <mergeCell ref="K50:L50"/>
    <mergeCell ref="K51:L51"/>
    <mergeCell ref="K52:L52"/>
    <mergeCell ref="K53:L53"/>
    <mergeCell ref="K54:L54"/>
    <mergeCell ref="C52:J52"/>
    <mergeCell ref="C53:J53"/>
    <mergeCell ref="C54:J54"/>
    <mergeCell ref="C48:J48"/>
    <mergeCell ref="C39:D39"/>
    <mergeCell ref="E39:F39"/>
    <mergeCell ref="C45:D45"/>
    <mergeCell ref="E45:F45"/>
    <mergeCell ref="G45:H45"/>
    <mergeCell ref="I45:J45"/>
    <mergeCell ref="C42:D42"/>
    <mergeCell ref="B29:B35"/>
    <mergeCell ref="C55:J55"/>
    <mergeCell ref="B12:B18"/>
    <mergeCell ref="B4:L4"/>
    <mergeCell ref="B5:L5"/>
    <mergeCell ref="B6:L6"/>
    <mergeCell ref="B8:L8"/>
    <mergeCell ref="B11:L11"/>
    <mergeCell ref="C46:J46"/>
    <mergeCell ref="C49:J49"/>
    <mergeCell ref="C50:J50"/>
    <mergeCell ref="C51:J51"/>
    <mergeCell ref="G12:H18"/>
    <mergeCell ref="I12:J18"/>
    <mergeCell ref="K12:L18"/>
    <mergeCell ref="K55:L55"/>
    <mergeCell ref="I39:J39"/>
    <mergeCell ref="C36:D36"/>
    <mergeCell ref="E36:F36"/>
    <mergeCell ref="K45:L45"/>
    <mergeCell ref="K36:L36"/>
    <mergeCell ref="K37:L37"/>
    <mergeCell ref="K38:L38"/>
    <mergeCell ref="G36:H36"/>
    <mergeCell ref="C28:D28"/>
    <mergeCell ref="E19:F19"/>
    <mergeCell ref="E20:F20"/>
    <mergeCell ref="E21:F21"/>
    <mergeCell ref="E22:F22"/>
    <mergeCell ref="E23:F23"/>
    <mergeCell ref="C29:D35"/>
    <mergeCell ref="E29:F35"/>
    <mergeCell ref="K29:L35"/>
    <mergeCell ref="C12:D18"/>
    <mergeCell ref="E12:F18"/>
    <mergeCell ref="C19:D19"/>
    <mergeCell ref="C20:D20"/>
    <mergeCell ref="C21:D21"/>
    <mergeCell ref="C38:D38"/>
    <mergeCell ref="E38:F38"/>
    <mergeCell ref="G38:H38"/>
    <mergeCell ref="E24:F24"/>
    <mergeCell ref="E25:F25"/>
    <mergeCell ref="E26:F26"/>
    <mergeCell ref="E27:F27"/>
    <mergeCell ref="E28:F28"/>
    <mergeCell ref="C22:D22"/>
    <mergeCell ref="C23:D23"/>
    <mergeCell ref="C24:D24"/>
    <mergeCell ref="C25:D25"/>
    <mergeCell ref="C26:D26"/>
    <mergeCell ref="G24:H24"/>
    <mergeCell ref="G25:H25"/>
    <mergeCell ref="G26:H26"/>
    <mergeCell ref="G27:H27"/>
    <mergeCell ref="G28:H28"/>
    <mergeCell ref="C27:D27"/>
    <mergeCell ref="I38:J38"/>
    <mergeCell ref="I29:J35"/>
    <mergeCell ref="C44:D44"/>
    <mergeCell ref="E44:F44"/>
    <mergeCell ref="G44:H44"/>
    <mergeCell ref="I44:J44"/>
    <mergeCell ref="C40:D40"/>
    <mergeCell ref="E40:F40"/>
    <mergeCell ref="G40:H40"/>
    <mergeCell ref="I40:J40"/>
    <mergeCell ref="C41:D41"/>
    <mergeCell ref="E41:F41"/>
    <mergeCell ref="G41:H41"/>
    <mergeCell ref="I41:J41"/>
    <mergeCell ref="I42:J42"/>
    <mergeCell ref="C43:D43"/>
    <mergeCell ref="E43:F43"/>
    <mergeCell ref="G43:H43"/>
    <mergeCell ref="I43:J43"/>
    <mergeCell ref="G29:H35"/>
    <mergeCell ref="I36:J36"/>
    <mergeCell ref="C37:D37"/>
    <mergeCell ref="E37:F37"/>
    <mergeCell ref="G37:H37"/>
    <mergeCell ref="G19:H19"/>
    <mergeCell ref="G20:H20"/>
    <mergeCell ref="G21:H21"/>
    <mergeCell ref="G22:H22"/>
    <mergeCell ref="G23:H23"/>
    <mergeCell ref="I24:J24"/>
    <mergeCell ref="I25:J25"/>
    <mergeCell ref="I26:J26"/>
    <mergeCell ref="I27:J27"/>
    <mergeCell ref="I28:J28"/>
    <mergeCell ref="I19:J19"/>
    <mergeCell ref="I20:J20"/>
    <mergeCell ref="I21:J21"/>
    <mergeCell ref="I22:J22"/>
    <mergeCell ref="I23:J23"/>
    <mergeCell ref="K24:L24"/>
    <mergeCell ref="K25:L25"/>
    <mergeCell ref="K26:L26"/>
    <mergeCell ref="K27:L27"/>
    <mergeCell ref="K28:L28"/>
    <mergeCell ref="K19:L19"/>
    <mergeCell ref="K20:L20"/>
    <mergeCell ref="K21:L21"/>
    <mergeCell ref="K22:L22"/>
    <mergeCell ref="K23:L23"/>
  </mergeCells>
  <printOptions horizontalCentered="1"/>
  <pageMargins left="0.25" right="0.25" top="0.75" bottom="0.75" header="0.3" footer="0.3"/>
  <pageSetup scale="45" fitToHeight="0" orientation="portrait" r:id="rId1"/>
  <headerFooter>
    <oddFooter>&amp;L&amp;A</oddFooter>
  </headerFooter>
  <ignoredErrors>
    <ignoredError sqref="C46 K46" unlockedFormula="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744</v>
      </c>
      <c r="P1" s="2" t="s">
        <v>744</v>
      </c>
    </row>
    <row r="2" spans="1:16" x14ac:dyDescent="0.25">
      <c r="B2" s="20" t="str">
        <f>UPPER(IF(Intro!$G$21="English",O3,P3))</f>
        <v>PROTÉGÉ</v>
      </c>
      <c r="O2" s="3" t="s">
        <v>166</v>
      </c>
      <c r="P2" s="3" t="s">
        <v>167</v>
      </c>
    </row>
    <row r="3" spans="1:16" x14ac:dyDescent="0.25">
      <c r="B3" s="21"/>
      <c r="O3" s="8" t="s">
        <v>169</v>
      </c>
      <c r="P3" s="8" t="s">
        <v>168</v>
      </c>
    </row>
    <row r="4" spans="1:16" s="8" customFormat="1" x14ac:dyDescent="0.25">
      <c r="A4" s="13"/>
      <c r="B4" s="462" t="str">
        <f>Info!B4</f>
        <v>QUESTIONNAIRE À L’INTENTION DES PRODUCTEURS</v>
      </c>
      <c r="C4" s="463"/>
      <c r="D4" s="463"/>
      <c r="E4" s="463"/>
      <c r="F4" s="463"/>
      <c r="G4" s="463"/>
      <c r="H4" s="463"/>
      <c r="I4" s="463"/>
      <c r="J4" s="463"/>
      <c r="K4" s="463"/>
      <c r="L4" s="464"/>
      <c r="M4" s="15"/>
      <c r="N4" s="15"/>
      <c r="O4" s="14" t="s">
        <v>170</v>
      </c>
      <c r="P4" s="14" t="s">
        <v>171</v>
      </c>
    </row>
    <row r="5" spans="1:16" s="8" customFormat="1" x14ac:dyDescent="0.25">
      <c r="A5" s="13"/>
      <c r="B5" s="465" t="str">
        <f>Info!B5</f>
        <v>NQ-2026-005</v>
      </c>
      <c r="C5" s="466"/>
      <c r="D5" s="466"/>
      <c r="E5" s="466"/>
      <c r="F5" s="466"/>
      <c r="G5" s="466"/>
      <c r="H5" s="466"/>
      <c r="I5" s="466"/>
      <c r="J5" s="466"/>
      <c r="K5" s="466"/>
      <c r="L5" s="467"/>
      <c r="M5" s="15"/>
      <c r="N5" s="15"/>
      <c r="O5" s="14" t="str">
        <f>Variables!B2</f>
        <v>NQ-2026-005</v>
      </c>
      <c r="P5" s="14" t="str">
        <f>Variables!C2</f>
        <v>NQ-2026-005</v>
      </c>
    </row>
    <row r="6" spans="1:16" s="9" customFormat="1" x14ac:dyDescent="0.25">
      <c r="A6" s="13"/>
      <c r="B6" s="470" t="str">
        <f>Info!B6</f>
        <v>CERTAINS RAYONNAGES EN ACIER</v>
      </c>
      <c r="C6" s="471"/>
      <c r="D6" s="471"/>
      <c r="E6" s="471"/>
      <c r="F6" s="471"/>
      <c r="G6" s="471"/>
      <c r="H6" s="471"/>
      <c r="I6" s="471"/>
      <c r="J6" s="471"/>
      <c r="K6" s="471"/>
      <c r="L6" s="472"/>
      <c r="M6" s="14"/>
      <c r="N6" s="14"/>
      <c r="O6" s="10" t="str">
        <f>Variables!B3</f>
        <v>certain steel racks</v>
      </c>
      <c r="P6" s="10" t="str">
        <f>Variables!C3</f>
        <v>certains rayonnages en acier</v>
      </c>
    </row>
    <row r="7" spans="1:16" s="9" customFormat="1" x14ac:dyDescent="0.25">
      <c r="A7" s="13"/>
      <c r="B7" s="22"/>
      <c r="C7" s="23"/>
      <c r="D7" s="23"/>
      <c r="E7" s="23"/>
      <c r="F7" s="23"/>
      <c r="G7" s="23"/>
      <c r="H7" s="23"/>
      <c r="I7" s="23"/>
      <c r="J7" s="23"/>
      <c r="K7" s="23"/>
      <c r="L7" s="23"/>
      <c r="O7" s="10"/>
      <c r="P7" s="10"/>
    </row>
    <row r="8" spans="1:16" x14ac:dyDescent="0.25">
      <c r="B8" s="453" t="str">
        <f>UPPER(IF(Intro!$G$21="English",O8,P8))</f>
        <v>COMMENTAIRES PROTÉGÉS</v>
      </c>
      <c r="C8" s="454"/>
      <c r="D8" s="454"/>
      <c r="E8" s="454"/>
      <c r="F8" s="454"/>
      <c r="G8" s="454"/>
      <c r="H8" s="454"/>
      <c r="I8" s="454"/>
      <c r="J8" s="454"/>
      <c r="K8" s="454"/>
      <c r="L8" s="455"/>
      <c r="M8" s="2"/>
      <c r="O8" s="2" t="s">
        <v>156</v>
      </c>
      <c r="P8" s="2" t="s">
        <v>430</v>
      </c>
    </row>
    <row r="9" spans="1:16" x14ac:dyDescent="0.25">
      <c r="B9" s="24"/>
      <c r="C9" s="26"/>
      <c r="D9" s="26"/>
      <c r="E9" s="26"/>
      <c r="F9" s="26"/>
      <c r="G9" s="26"/>
      <c r="H9" s="26"/>
      <c r="I9" s="26"/>
      <c r="J9" s="26"/>
      <c r="K9" s="26"/>
      <c r="L9" s="27"/>
      <c r="M9" s="2"/>
    </row>
    <row r="10" spans="1:16" x14ac:dyDescent="0.25">
      <c r="B10" s="456" t="str">
        <f>IF(Intro!$G$21="English",O10,P10)</f>
        <v>Si votre entreprise désire ajouter des commentaires concernant vos réponses, vous les inscrivez ici. Indiquez à quelle question se rapportent vos commentaires.</v>
      </c>
      <c r="C10" s="457"/>
      <c r="D10" s="457"/>
      <c r="E10" s="457"/>
      <c r="F10" s="457"/>
      <c r="G10" s="457"/>
      <c r="H10" s="457"/>
      <c r="I10" s="457"/>
      <c r="J10" s="457"/>
      <c r="K10" s="457"/>
      <c r="L10" s="458"/>
      <c r="M10" s="2"/>
      <c r="O10" s="11" t="s">
        <v>570</v>
      </c>
      <c r="P10" s="2" t="s">
        <v>411</v>
      </c>
    </row>
    <row r="11" spans="1:16" x14ac:dyDescent="0.25">
      <c r="B11" s="159"/>
      <c r="C11" s="25"/>
      <c r="D11" s="26"/>
      <c r="E11" s="26"/>
      <c r="F11" s="26"/>
      <c r="G11" s="26"/>
      <c r="H11" s="26"/>
      <c r="I11" s="26"/>
      <c r="J11" s="26"/>
      <c r="K11" s="26"/>
      <c r="L11" s="27"/>
      <c r="M11" s="2"/>
      <c r="O11" s="232" t="s">
        <v>715</v>
      </c>
      <c r="P11" s="232" t="s">
        <v>716</v>
      </c>
    </row>
    <row r="12" spans="1:16" ht="28.5" x14ac:dyDescent="0.25">
      <c r="B12" s="159"/>
      <c r="C12" s="299" t="str">
        <f>IF(Intro!$G$21="English",O11,P11)</f>
        <v>Onglet et question</v>
      </c>
      <c r="D12" s="644" t="str">
        <f>IF(Intro!$G$21="English",O12,P12)</f>
        <v>Commentaires</v>
      </c>
      <c r="E12" s="645"/>
      <c r="F12" s="645"/>
      <c r="G12" s="645"/>
      <c r="H12" s="645"/>
      <c r="I12" s="645"/>
      <c r="J12" s="645"/>
      <c r="K12" s="645"/>
      <c r="L12" s="646"/>
      <c r="M12" s="2"/>
      <c r="O12" s="11" t="s">
        <v>275</v>
      </c>
      <c r="P12" s="2" t="s">
        <v>276</v>
      </c>
    </row>
    <row r="13" spans="1:16" ht="14.25" customHeight="1" x14ac:dyDescent="0.25">
      <c r="B13" s="647" t="str">
        <f>IF(Intro!$G$21="English",O13,P13)</f>
        <v>Commentaire 1</v>
      </c>
      <c r="C13" s="650"/>
      <c r="D13" s="634"/>
      <c r="E13" s="635"/>
      <c r="F13" s="635"/>
      <c r="G13" s="635"/>
      <c r="H13" s="635"/>
      <c r="I13" s="635"/>
      <c r="J13" s="635"/>
      <c r="K13" s="635"/>
      <c r="L13" s="636"/>
      <c r="M13" s="2"/>
      <c r="O13" s="11" t="s">
        <v>277</v>
      </c>
      <c r="P13" s="2" t="s">
        <v>278</v>
      </c>
    </row>
    <row r="14" spans="1:16" x14ac:dyDescent="0.25">
      <c r="B14" s="648"/>
      <c r="C14" s="651"/>
      <c r="D14" s="637"/>
      <c r="E14" s="497"/>
      <c r="F14" s="497"/>
      <c r="G14" s="497"/>
      <c r="H14" s="497"/>
      <c r="I14" s="497"/>
      <c r="J14" s="497"/>
      <c r="K14" s="497"/>
      <c r="L14" s="498"/>
      <c r="M14" s="2"/>
    </row>
    <row r="15" spans="1:16" x14ac:dyDescent="0.25">
      <c r="B15" s="648"/>
      <c r="C15" s="651"/>
      <c r="D15" s="637"/>
      <c r="E15" s="497"/>
      <c r="F15" s="497"/>
      <c r="G15" s="497"/>
      <c r="H15" s="497"/>
      <c r="I15" s="497"/>
      <c r="J15" s="497"/>
      <c r="K15" s="497"/>
      <c r="L15" s="498"/>
      <c r="M15" s="2"/>
    </row>
    <row r="16" spans="1:16" x14ac:dyDescent="0.25">
      <c r="B16" s="648"/>
      <c r="C16" s="651"/>
      <c r="D16" s="637"/>
      <c r="E16" s="497"/>
      <c r="F16" s="497"/>
      <c r="G16" s="497"/>
      <c r="H16" s="497"/>
      <c r="I16" s="497"/>
      <c r="J16" s="497"/>
      <c r="K16" s="497"/>
      <c r="L16" s="498"/>
      <c r="M16" s="2"/>
    </row>
    <row r="17" spans="2:16" x14ac:dyDescent="0.25">
      <c r="B17" s="648"/>
      <c r="C17" s="651"/>
      <c r="D17" s="637"/>
      <c r="E17" s="497"/>
      <c r="F17" s="497"/>
      <c r="G17" s="497"/>
      <c r="H17" s="497"/>
      <c r="I17" s="497"/>
      <c r="J17" s="497"/>
      <c r="K17" s="497"/>
      <c r="L17" s="498"/>
      <c r="M17" s="2"/>
    </row>
    <row r="18" spans="2:16" x14ac:dyDescent="0.25">
      <c r="B18" s="648"/>
      <c r="C18" s="651"/>
      <c r="D18" s="637"/>
      <c r="E18" s="497"/>
      <c r="F18" s="497"/>
      <c r="G18" s="497"/>
      <c r="H18" s="497"/>
      <c r="I18" s="497"/>
      <c r="J18" s="497"/>
      <c r="K18" s="497"/>
      <c r="L18" s="498"/>
      <c r="M18" s="2"/>
      <c r="O18" s="156"/>
      <c r="P18" s="156"/>
    </row>
    <row r="19" spans="2:16" x14ac:dyDescent="0.25">
      <c r="B19" s="648"/>
      <c r="C19" s="651"/>
      <c r="D19" s="637"/>
      <c r="E19" s="497"/>
      <c r="F19" s="497"/>
      <c r="G19" s="497"/>
      <c r="H19" s="497"/>
      <c r="I19" s="497"/>
      <c r="J19" s="497"/>
      <c r="K19" s="497"/>
      <c r="L19" s="498"/>
      <c r="M19" s="2"/>
      <c r="O19" s="11"/>
    </row>
    <row r="20" spans="2:16" x14ac:dyDescent="0.25">
      <c r="B20" s="648"/>
      <c r="C20" s="651"/>
      <c r="D20" s="637"/>
      <c r="E20" s="497"/>
      <c r="F20" s="497"/>
      <c r="G20" s="497"/>
      <c r="H20" s="497"/>
      <c r="I20" s="497"/>
      <c r="J20" s="497"/>
      <c r="K20" s="497"/>
      <c r="L20" s="498"/>
      <c r="M20" s="2"/>
      <c r="O20" s="11"/>
    </row>
    <row r="21" spans="2:16" x14ac:dyDescent="0.25">
      <c r="B21" s="649"/>
      <c r="C21" s="652"/>
      <c r="D21" s="638"/>
      <c r="E21" s="639"/>
      <c r="F21" s="639"/>
      <c r="G21" s="639"/>
      <c r="H21" s="639"/>
      <c r="I21" s="639"/>
      <c r="J21" s="639"/>
      <c r="K21" s="639"/>
      <c r="L21" s="640"/>
      <c r="M21" s="2"/>
      <c r="O21" s="11"/>
    </row>
    <row r="22" spans="2:16" ht="14.25" customHeight="1" x14ac:dyDescent="0.25">
      <c r="B22" s="300" t="str">
        <f>IF(Intro!$G$21="English",O22,P22)</f>
        <v>Commentaire 2</v>
      </c>
      <c r="C22" s="650"/>
      <c r="D22" s="634"/>
      <c r="E22" s="635"/>
      <c r="F22" s="635"/>
      <c r="G22" s="635"/>
      <c r="H22" s="635"/>
      <c r="I22" s="635"/>
      <c r="J22" s="635"/>
      <c r="K22" s="635"/>
      <c r="L22" s="636"/>
      <c r="M22" s="2"/>
      <c r="O22" s="11" t="s">
        <v>279</v>
      </c>
      <c r="P22" s="2" t="s">
        <v>280</v>
      </c>
    </row>
    <row r="23" spans="2:16" x14ac:dyDescent="0.25">
      <c r="B23" s="159"/>
      <c r="C23" s="651"/>
      <c r="D23" s="637"/>
      <c r="E23" s="497"/>
      <c r="F23" s="497"/>
      <c r="G23" s="497"/>
      <c r="H23" s="497"/>
      <c r="I23" s="497"/>
      <c r="J23" s="497"/>
      <c r="K23" s="497"/>
      <c r="L23" s="498"/>
      <c r="M23" s="2"/>
    </row>
    <row r="24" spans="2:16" x14ac:dyDescent="0.25">
      <c r="B24" s="159"/>
      <c r="C24" s="651"/>
      <c r="D24" s="637"/>
      <c r="E24" s="497"/>
      <c r="F24" s="497"/>
      <c r="G24" s="497"/>
      <c r="H24" s="497"/>
      <c r="I24" s="497"/>
      <c r="J24" s="497"/>
      <c r="K24" s="497"/>
      <c r="L24" s="498"/>
      <c r="M24" s="2"/>
    </row>
    <row r="25" spans="2:16" x14ac:dyDescent="0.25">
      <c r="B25" s="159"/>
      <c r="C25" s="651"/>
      <c r="D25" s="637"/>
      <c r="E25" s="497"/>
      <c r="F25" s="497"/>
      <c r="G25" s="497"/>
      <c r="H25" s="497"/>
      <c r="I25" s="497"/>
      <c r="J25" s="497"/>
      <c r="K25" s="497"/>
      <c r="L25" s="498"/>
      <c r="M25" s="2"/>
    </row>
    <row r="26" spans="2:16" x14ac:dyDescent="0.25">
      <c r="B26" s="159"/>
      <c r="C26" s="651"/>
      <c r="D26" s="637"/>
      <c r="E26" s="497"/>
      <c r="F26" s="497"/>
      <c r="G26" s="497"/>
      <c r="H26" s="497"/>
      <c r="I26" s="497"/>
      <c r="J26" s="497"/>
      <c r="K26" s="497"/>
      <c r="L26" s="498"/>
      <c r="M26" s="2"/>
      <c r="O26" s="11"/>
    </row>
    <row r="27" spans="2:16" x14ac:dyDescent="0.25">
      <c r="B27" s="159"/>
      <c r="C27" s="651"/>
      <c r="D27" s="637"/>
      <c r="E27" s="497"/>
      <c r="F27" s="497"/>
      <c r="G27" s="497"/>
      <c r="H27" s="497"/>
      <c r="I27" s="497"/>
      <c r="J27" s="497"/>
      <c r="K27" s="497"/>
      <c r="L27" s="498"/>
      <c r="M27" s="2"/>
      <c r="O27" s="11"/>
    </row>
    <row r="28" spans="2:16" x14ac:dyDescent="0.25">
      <c r="B28" s="159"/>
      <c r="C28" s="651"/>
      <c r="D28" s="637"/>
      <c r="E28" s="497"/>
      <c r="F28" s="497"/>
      <c r="G28" s="497"/>
      <c r="H28" s="497"/>
      <c r="I28" s="497"/>
      <c r="J28" s="497"/>
      <c r="K28" s="497"/>
      <c r="L28" s="498"/>
      <c r="M28" s="2"/>
      <c r="O28" s="11"/>
    </row>
    <row r="29" spans="2:16" x14ac:dyDescent="0.25">
      <c r="B29" s="159"/>
      <c r="C29" s="651"/>
      <c r="D29" s="637"/>
      <c r="E29" s="497"/>
      <c r="F29" s="497"/>
      <c r="G29" s="497"/>
      <c r="H29" s="497"/>
      <c r="I29" s="497"/>
      <c r="J29" s="497"/>
      <c r="K29" s="497"/>
      <c r="L29" s="498"/>
      <c r="M29" s="2"/>
      <c r="O29" s="11"/>
    </row>
    <row r="30" spans="2:16" x14ac:dyDescent="0.25">
      <c r="B30" s="210"/>
      <c r="C30" s="652"/>
      <c r="D30" s="638"/>
      <c r="E30" s="639"/>
      <c r="F30" s="639"/>
      <c r="G30" s="639"/>
      <c r="H30" s="639"/>
      <c r="I30" s="639"/>
      <c r="J30" s="639"/>
      <c r="K30" s="639"/>
      <c r="L30" s="640"/>
      <c r="M30" s="2"/>
      <c r="O30" s="11"/>
    </row>
    <row r="31" spans="2:16" ht="14.25" customHeight="1" x14ac:dyDescent="0.25">
      <c r="B31" s="300" t="str">
        <f>IF(Intro!$G$21="English",O31,P31)</f>
        <v>Commentaire 3</v>
      </c>
      <c r="C31" s="650"/>
      <c r="D31" s="634"/>
      <c r="E31" s="635"/>
      <c r="F31" s="635"/>
      <c r="G31" s="635"/>
      <c r="H31" s="635"/>
      <c r="I31" s="635"/>
      <c r="J31" s="635"/>
      <c r="K31" s="635"/>
      <c r="L31" s="636"/>
      <c r="M31" s="2"/>
      <c r="O31" s="11" t="s">
        <v>281</v>
      </c>
      <c r="P31" s="2" t="s">
        <v>282</v>
      </c>
    </row>
    <row r="32" spans="2:16" x14ac:dyDescent="0.25">
      <c r="B32" s="159"/>
      <c r="C32" s="651"/>
      <c r="D32" s="637"/>
      <c r="E32" s="497"/>
      <c r="F32" s="497"/>
      <c r="G32" s="497"/>
      <c r="H32" s="497"/>
      <c r="I32" s="497"/>
      <c r="J32" s="497"/>
      <c r="K32" s="497"/>
      <c r="L32" s="498"/>
      <c r="M32" s="2"/>
    </row>
    <row r="33" spans="2:16" x14ac:dyDescent="0.25">
      <c r="B33" s="159"/>
      <c r="C33" s="651"/>
      <c r="D33" s="637"/>
      <c r="E33" s="497"/>
      <c r="F33" s="497"/>
      <c r="G33" s="497"/>
      <c r="H33" s="497"/>
      <c r="I33" s="497"/>
      <c r="J33" s="497"/>
      <c r="K33" s="497"/>
      <c r="L33" s="498"/>
      <c r="M33" s="2"/>
    </row>
    <row r="34" spans="2:16" x14ac:dyDescent="0.25">
      <c r="B34" s="159"/>
      <c r="C34" s="651"/>
      <c r="D34" s="637"/>
      <c r="E34" s="497"/>
      <c r="F34" s="497"/>
      <c r="G34" s="497"/>
      <c r="H34" s="497"/>
      <c r="I34" s="497"/>
      <c r="J34" s="497"/>
      <c r="K34" s="497"/>
      <c r="L34" s="498"/>
      <c r="M34" s="2"/>
      <c r="O34" s="11"/>
    </row>
    <row r="35" spans="2:16" x14ac:dyDescent="0.25">
      <c r="B35" s="159"/>
      <c r="C35" s="651"/>
      <c r="D35" s="637"/>
      <c r="E35" s="497"/>
      <c r="F35" s="497"/>
      <c r="G35" s="497"/>
      <c r="H35" s="497"/>
      <c r="I35" s="497"/>
      <c r="J35" s="497"/>
      <c r="K35" s="497"/>
      <c r="L35" s="498"/>
      <c r="M35" s="2"/>
      <c r="O35" s="11"/>
    </row>
    <row r="36" spans="2:16" x14ac:dyDescent="0.25">
      <c r="B36" s="159"/>
      <c r="C36" s="651"/>
      <c r="D36" s="637"/>
      <c r="E36" s="497"/>
      <c r="F36" s="497"/>
      <c r="G36" s="497"/>
      <c r="H36" s="497"/>
      <c r="I36" s="497"/>
      <c r="J36" s="497"/>
      <c r="K36" s="497"/>
      <c r="L36" s="498"/>
      <c r="M36" s="2"/>
      <c r="O36" s="11"/>
    </row>
    <row r="37" spans="2:16" x14ac:dyDescent="0.25">
      <c r="B37" s="159"/>
      <c r="C37" s="651"/>
      <c r="D37" s="637"/>
      <c r="E37" s="497"/>
      <c r="F37" s="497"/>
      <c r="G37" s="497"/>
      <c r="H37" s="497"/>
      <c r="I37" s="497"/>
      <c r="J37" s="497"/>
      <c r="K37" s="497"/>
      <c r="L37" s="498"/>
      <c r="M37" s="2"/>
      <c r="O37" s="11"/>
    </row>
    <row r="38" spans="2:16" x14ac:dyDescent="0.25">
      <c r="B38" s="159"/>
      <c r="C38" s="651"/>
      <c r="D38" s="637"/>
      <c r="E38" s="497"/>
      <c r="F38" s="497"/>
      <c r="G38" s="497"/>
      <c r="H38" s="497"/>
      <c r="I38" s="497"/>
      <c r="J38" s="497"/>
      <c r="K38" s="497"/>
      <c r="L38" s="498"/>
      <c r="M38" s="2"/>
      <c r="O38" s="11"/>
    </row>
    <row r="39" spans="2:16" x14ac:dyDescent="0.25">
      <c r="B39" s="210"/>
      <c r="C39" s="652"/>
      <c r="D39" s="638"/>
      <c r="E39" s="639"/>
      <c r="F39" s="639"/>
      <c r="G39" s="639"/>
      <c r="H39" s="639"/>
      <c r="I39" s="639"/>
      <c r="J39" s="639"/>
      <c r="K39" s="639"/>
      <c r="L39" s="640"/>
      <c r="M39" s="2"/>
      <c r="O39" s="11"/>
    </row>
    <row r="40" spans="2:16" ht="14.25" customHeight="1" x14ac:dyDescent="0.25">
      <c r="B40" s="300" t="str">
        <f>IF(Intro!$G$21="English",O40,P40)</f>
        <v>Commentaire 4</v>
      </c>
      <c r="C40" s="650"/>
      <c r="D40" s="634"/>
      <c r="E40" s="635"/>
      <c r="F40" s="635"/>
      <c r="G40" s="635"/>
      <c r="H40" s="635"/>
      <c r="I40" s="635"/>
      <c r="J40" s="635"/>
      <c r="K40" s="635"/>
      <c r="L40" s="636"/>
      <c r="M40" s="2"/>
      <c r="O40" s="11" t="s">
        <v>283</v>
      </c>
      <c r="P40" s="2" t="s">
        <v>284</v>
      </c>
    </row>
    <row r="41" spans="2:16" x14ac:dyDescent="0.25">
      <c r="B41" s="159"/>
      <c r="C41" s="651"/>
      <c r="D41" s="637"/>
      <c r="E41" s="497"/>
      <c r="F41" s="497"/>
      <c r="G41" s="497"/>
      <c r="H41" s="497"/>
      <c r="I41" s="497"/>
      <c r="J41" s="497"/>
      <c r="K41" s="497"/>
      <c r="L41" s="498"/>
      <c r="M41" s="2"/>
    </row>
    <row r="42" spans="2:16" x14ac:dyDescent="0.25">
      <c r="B42" s="159"/>
      <c r="C42" s="651"/>
      <c r="D42" s="637"/>
      <c r="E42" s="497"/>
      <c r="F42" s="497"/>
      <c r="G42" s="497"/>
      <c r="H42" s="497"/>
      <c r="I42" s="497"/>
      <c r="J42" s="497"/>
      <c r="K42" s="497"/>
      <c r="L42" s="498"/>
      <c r="M42" s="2"/>
      <c r="O42" s="11"/>
    </row>
    <row r="43" spans="2:16" x14ac:dyDescent="0.25">
      <c r="B43" s="159"/>
      <c r="C43" s="651"/>
      <c r="D43" s="637"/>
      <c r="E43" s="497"/>
      <c r="F43" s="497"/>
      <c r="G43" s="497"/>
      <c r="H43" s="497"/>
      <c r="I43" s="497"/>
      <c r="J43" s="497"/>
      <c r="K43" s="497"/>
      <c r="L43" s="498"/>
      <c r="M43" s="2"/>
      <c r="O43" s="11"/>
    </row>
    <row r="44" spans="2:16" x14ac:dyDescent="0.25">
      <c r="B44" s="159"/>
      <c r="C44" s="651"/>
      <c r="D44" s="637"/>
      <c r="E44" s="497"/>
      <c r="F44" s="497"/>
      <c r="G44" s="497"/>
      <c r="H44" s="497"/>
      <c r="I44" s="497"/>
      <c r="J44" s="497"/>
      <c r="K44" s="497"/>
      <c r="L44" s="498"/>
      <c r="M44" s="2"/>
      <c r="O44" s="11"/>
    </row>
    <row r="45" spans="2:16" x14ac:dyDescent="0.25">
      <c r="B45" s="159"/>
      <c r="C45" s="651"/>
      <c r="D45" s="637"/>
      <c r="E45" s="497"/>
      <c r="F45" s="497"/>
      <c r="G45" s="497"/>
      <c r="H45" s="497"/>
      <c r="I45" s="497"/>
      <c r="J45" s="497"/>
      <c r="K45" s="497"/>
      <c r="L45" s="498"/>
      <c r="M45" s="2"/>
      <c r="O45" s="11"/>
    </row>
    <row r="46" spans="2:16" x14ac:dyDescent="0.25">
      <c r="B46" s="159"/>
      <c r="C46" s="651"/>
      <c r="D46" s="637"/>
      <c r="E46" s="497"/>
      <c r="F46" s="497"/>
      <c r="G46" s="497"/>
      <c r="H46" s="497"/>
      <c r="I46" s="497"/>
      <c r="J46" s="497"/>
      <c r="K46" s="497"/>
      <c r="L46" s="498"/>
      <c r="M46" s="2"/>
      <c r="O46" s="11"/>
    </row>
    <row r="47" spans="2:16" x14ac:dyDescent="0.25">
      <c r="B47" s="159"/>
      <c r="C47" s="651"/>
      <c r="D47" s="637"/>
      <c r="E47" s="497"/>
      <c r="F47" s="497"/>
      <c r="G47" s="497"/>
      <c r="H47" s="497"/>
      <c r="I47" s="497"/>
      <c r="J47" s="497"/>
      <c r="K47" s="497"/>
      <c r="L47" s="498"/>
      <c r="M47" s="2"/>
      <c r="O47" s="11"/>
    </row>
    <row r="48" spans="2:16" x14ac:dyDescent="0.25">
      <c r="B48" s="210"/>
      <c r="C48" s="652"/>
      <c r="D48" s="638"/>
      <c r="E48" s="639"/>
      <c r="F48" s="639"/>
      <c r="G48" s="639"/>
      <c r="H48" s="639"/>
      <c r="I48" s="639"/>
      <c r="J48" s="639"/>
      <c r="K48" s="639"/>
      <c r="L48" s="640"/>
      <c r="M48" s="2"/>
      <c r="O48" s="11"/>
    </row>
    <row r="49" spans="1:16" ht="14.25" customHeight="1" x14ac:dyDescent="0.25">
      <c r="B49" s="300" t="str">
        <f>IF(Intro!$G$21="English",O49,P49)</f>
        <v>Commentaire 5</v>
      </c>
      <c r="C49" s="650"/>
      <c r="D49" s="634"/>
      <c r="E49" s="635"/>
      <c r="F49" s="635"/>
      <c r="G49" s="635"/>
      <c r="H49" s="635"/>
      <c r="I49" s="635"/>
      <c r="J49" s="635"/>
      <c r="K49" s="635"/>
      <c r="L49" s="636"/>
      <c r="M49" s="2"/>
      <c r="O49" s="11" t="s">
        <v>285</v>
      </c>
      <c r="P49" s="2" t="s">
        <v>286</v>
      </c>
    </row>
    <row r="50" spans="1:16" x14ac:dyDescent="0.25">
      <c r="B50" s="159"/>
      <c r="C50" s="651"/>
      <c r="D50" s="637"/>
      <c r="E50" s="497"/>
      <c r="F50" s="497"/>
      <c r="G50" s="497"/>
      <c r="H50" s="497"/>
      <c r="I50" s="497"/>
      <c r="J50" s="497"/>
      <c r="K50" s="497"/>
      <c r="L50" s="498"/>
      <c r="M50" s="2"/>
      <c r="O50" s="11"/>
    </row>
    <row r="51" spans="1:16" x14ac:dyDescent="0.25">
      <c r="B51" s="159"/>
      <c r="C51" s="651"/>
      <c r="D51" s="637"/>
      <c r="E51" s="497"/>
      <c r="F51" s="497"/>
      <c r="G51" s="497"/>
      <c r="H51" s="497"/>
      <c r="I51" s="497"/>
      <c r="J51" s="497"/>
      <c r="K51" s="497"/>
      <c r="L51" s="498"/>
      <c r="M51" s="2"/>
      <c r="O51" s="11"/>
    </row>
    <row r="52" spans="1:16" x14ac:dyDescent="0.25">
      <c r="B52" s="159"/>
      <c r="C52" s="651"/>
      <c r="D52" s="637"/>
      <c r="E52" s="497"/>
      <c r="F52" s="497"/>
      <c r="G52" s="497"/>
      <c r="H52" s="497"/>
      <c r="I52" s="497"/>
      <c r="J52" s="497"/>
      <c r="K52" s="497"/>
      <c r="L52" s="498"/>
      <c r="M52" s="2"/>
      <c r="O52" s="11"/>
    </row>
    <row r="53" spans="1:16" x14ac:dyDescent="0.25">
      <c r="B53" s="159"/>
      <c r="C53" s="651"/>
      <c r="D53" s="637"/>
      <c r="E53" s="497"/>
      <c r="F53" s="497"/>
      <c r="G53" s="497"/>
      <c r="H53" s="497"/>
      <c r="I53" s="497"/>
      <c r="J53" s="497"/>
      <c r="K53" s="497"/>
      <c r="L53" s="498"/>
      <c r="M53" s="2"/>
      <c r="O53" s="11"/>
    </row>
    <row r="54" spans="1:16" x14ac:dyDescent="0.25">
      <c r="B54" s="159"/>
      <c r="C54" s="651"/>
      <c r="D54" s="637"/>
      <c r="E54" s="497"/>
      <c r="F54" s="497"/>
      <c r="G54" s="497"/>
      <c r="H54" s="497"/>
      <c r="I54" s="497"/>
      <c r="J54" s="497"/>
      <c r="K54" s="497"/>
      <c r="L54" s="498"/>
      <c r="M54" s="2"/>
      <c r="O54" s="11"/>
    </row>
    <row r="55" spans="1:16" x14ac:dyDescent="0.25">
      <c r="B55" s="159"/>
      <c r="C55" s="651"/>
      <c r="D55" s="637"/>
      <c r="E55" s="497"/>
      <c r="F55" s="497"/>
      <c r="G55" s="497"/>
      <c r="H55" s="497"/>
      <c r="I55" s="497"/>
      <c r="J55" s="497"/>
      <c r="K55" s="497"/>
      <c r="L55" s="498"/>
      <c r="M55" s="2"/>
      <c r="O55" s="11"/>
    </row>
    <row r="56" spans="1:16" x14ac:dyDescent="0.25">
      <c r="B56" s="159"/>
      <c r="C56" s="651"/>
      <c r="D56" s="637"/>
      <c r="E56" s="497"/>
      <c r="F56" s="497"/>
      <c r="G56" s="497"/>
      <c r="H56" s="497"/>
      <c r="I56" s="497"/>
      <c r="J56" s="497"/>
      <c r="K56" s="497"/>
      <c r="L56" s="498"/>
      <c r="M56" s="2"/>
      <c r="O56" s="11"/>
    </row>
    <row r="57" spans="1:16" s="156" customFormat="1" x14ac:dyDescent="0.25">
      <c r="A57" s="180"/>
      <c r="B57" s="36"/>
      <c r="C57" s="653"/>
      <c r="D57" s="641"/>
      <c r="E57" s="642"/>
      <c r="F57" s="642"/>
      <c r="G57" s="642"/>
      <c r="H57" s="642"/>
      <c r="I57" s="642"/>
      <c r="J57" s="642"/>
      <c r="K57" s="642"/>
      <c r="L57" s="643"/>
      <c r="N57" s="182"/>
    </row>
  </sheetData>
  <sheetProtection algorithmName="SHA-512" hashValue="TCuA6aVJj3CFkosbziXafjHLonLpxlZ8mI2M1ANaC0O4OLCkJEF0b2RuZDXuJUkOtrpfDxj2coYVuPu97ESUJg==" saltValue="wnLeDDJiRcOIUsJL0k7sWw==" spinCount="100000" sheet="1" objects="1" scenarios="1" selectLockedCells="1"/>
  <mergeCells count="17">
    <mergeCell ref="D40:L48"/>
    <mergeCell ref="D49:L57"/>
    <mergeCell ref="D12:L12"/>
    <mergeCell ref="B13:B21"/>
    <mergeCell ref="D13:L21"/>
    <mergeCell ref="D22:L30"/>
    <mergeCell ref="D31:L39"/>
    <mergeCell ref="C13:C21"/>
    <mergeCell ref="C22:C30"/>
    <mergeCell ref="C31:C39"/>
    <mergeCell ref="C40:C48"/>
    <mergeCell ref="C49:C57"/>
    <mergeCell ref="B4:L4"/>
    <mergeCell ref="B5:L5"/>
    <mergeCell ref="B6:L6"/>
    <mergeCell ref="B10:L10"/>
    <mergeCell ref="B8:L8"/>
  </mergeCells>
  <phoneticPr fontId="18" type="noConversion"/>
  <printOptions horizontalCentered="1"/>
  <pageMargins left="0.25" right="0.25" top="0.75" bottom="0.75" header="0.3" footer="0.3"/>
  <pageSetup scale="63" fitToHeight="0" orientation="portrait" r:id="rId1"/>
  <headerFooter>
    <oddFooter>&amp;L&amp;A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Q84"/>
  <sheetViews>
    <sheetView showGridLines="0" zoomScaleNormal="100" workbookViewId="0">
      <selection activeCell="B19" sqref="B19:L26"/>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744</v>
      </c>
      <c r="P1" s="2" t="s">
        <v>744</v>
      </c>
    </row>
    <row r="2" spans="1:16" x14ac:dyDescent="0.25">
      <c r="B2" s="20" t="s">
        <v>0</v>
      </c>
      <c r="O2" s="3" t="s">
        <v>166</v>
      </c>
      <c r="P2" s="3" t="s">
        <v>167</v>
      </c>
    </row>
    <row r="3" spans="1:16" x14ac:dyDescent="0.25">
      <c r="B3" s="21"/>
      <c r="O3" s="8"/>
      <c r="P3" s="8"/>
    </row>
    <row r="4" spans="1:16" s="8" customFormat="1" x14ac:dyDescent="0.25">
      <c r="A4" s="13"/>
      <c r="B4" s="462" t="str">
        <f>Info!B4</f>
        <v>QUESTIONNAIRE À L’INTENTION DES PRODUCTEURS</v>
      </c>
      <c r="C4" s="463"/>
      <c r="D4" s="463"/>
      <c r="E4" s="463"/>
      <c r="F4" s="463"/>
      <c r="G4" s="463"/>
      <c r="H4" s="463"/>
      <c r="I4" s="463"/>
      <c r="J4" s="463"/>
      <c r="K4" s="463"/>
      <c r="L4" s="464"/>
      <c r="M4" s="15"/>
      <c r="N4" s="15"/>
      <c r="O4" s="14"/>
      <c r="P4" s="14"/>
    </row>
    <row r="5" spans="1:16" s="8" customFormat="1" x14ac:dyDescent="0.25">
      <c r="A5" s="13"/>
      <c r="B5" s="465" t="str">
        <f>Info!B5</f>
        <v>NQ-2026-005</v>
      </c>
      <c r="C5" s="466"/>
      <c r="D5" s="466"/>
      <c r="E5" s="466"/>
      <c r="F5" s="466"/>
      <c r="G5" s="466"/>
      <c r="H5" s="466"/>
      <c r="I5" s="466"/>
      <c r="J5" s="466"/>
      <c r="K5" s="466"/>
      <c r="L5" s="467"/>
      <c r="M5" s="15"/>
      <c r="N5" s="15"/>
      <c r="O5" s="14"/>
      <c r="P5" s="14"/>
    </row>
    <row r="6" spans="1:16" s="9" customFormat="1" x14ac:dyDescent="0.25">
      <c r="A6" s="13"/>
      <c r="B6" s="470" t="str">
        <f>Info!B6</f>
        <v>CERTAINS RAYONNAGES EN ACIER</v>
      </c>
      <c r="C6" s="471"/>
      <c r="D6" s="471"/>
      <c r="E6" s="471"/>
      <c r="F6" s="471"/>
      <c r="G6" s="471"/>
      <c r="H6" s="471"/>
      <c r="I6" s="471"/>
      <c r="J6" s="471"/>
      <c r="K6" s="471"/>
      <c r="L6" s="472"/>
      <c r="M6" s="14"/>
      <c r="N6" s="14"/>
      <c r="O6" s="10"/>
      <c r="P6" s="10"/>
    </row>
    <row r="7" spans="1:16" s="9" customFormat="1" x14ac:dyDescent="0.25">
      <c r="A7" s="13"/>
      <c r="B7" s="22"/>
      <c r="C7" s="23"/>
      <c r="D7" s="23"/>
      <c r="E7" s="23"/>
      <c r="F7" s="23"/>
      <c r="G7" s="23"/>
      <c r="H7" s="23"/>
      <c r="I7" s="23"/>
      <c r="J7" s="23"/>
      <c r="K7" s="23"/>
      <c r="L7" s="23"/>
      <c r="O7" s="10"/>
      <c r="P7" s="10"/>
    </row>
    <row r="8" spans="1:16" x14ac:dyDescent="0.25">
      <c r="B8" s="453" t="str">
        <f>IF(Intro!$G$21="English",O8,P8)</f>
        <v>CONFIRMATION DES DONNÉES DÉCLARÉES</v>
      </c>
      <c r="C8" s="454"/>
      <c r="D8" s="454"/>
      <c r="E8" s="454"/>
      <c r="F8" s="454"/>
      <c r="G8" s="454"/>
      <c r="H8" s="454"/>
      <c r="I8" s="454"/>
      <c r="J8" s="454"/>
      <c r="K8" s="454"/>
      <c r="L8" s="455"/>
      <c r="M8" s="2"/>
      <c r="O8" s="2" t="s">
        <v>18</v>
      </c>
      <c r="P8" s="2" t="s">
        <v>19</v>
      </c>
    </row>
    <row r="9" spans="1:16" x14ac:dyDescent="0.25">
      <c r="B9" s="453" t="str">
        <f>IF(Intro!$G$21="English",O9,P9)</f>
        <v>GÉNÉRAL</v>
      </c>
      <c r="C9" s="454"/>
      <c r="D9" s="454"/>
      <c r="E9" s="454"/>
      <c r="F9" s="454"/>
      <c r="G9" s="454"/>
      <c r="H9" s="454"/>
      <c r="I9" s="454"/>
      <c r="J9" s="454"/>
      <c r="K9" s="454"/>
      <c r="L9" s="455"/>
      <c r="M9" s="2"/>
      <c r="O9" s="199" t="s">
        <v>669</v>
      </c>
      <c r="P9" s="199" t="s">
        <v>670</v>
      </c>
    </row>
    <row r="10" spans="1:16" x14ac:dyDescent="0.25">
      <c r="B10" s="170"/>
      <c r="C10" s="171"/>
      <c r="D10" s="171"/>
      <c r="E10" s="171"/>
      <c r="F10" s="171"/>
      <c r="G10" s="171"/>
      <c r="H10" s="171"/>
      <c r="I10" s="171"/>
      <c r="J10" s="171"/>
      <c r="K10" s="171"/>
      <c r="L10" s="172"/>
      <c r="M10" s="2"/>
    </row>
    <row r="11" spans="1:16" s="1" customFormat="1" x14ac:dyDescent="0.25">
      <c r="A11" s="290"/>
      <c r="B11" s="37"/>
      <c r="C11" s="19"/>
      <c r="D11" s="19"/>
      <c r="E11" s="19"/>
      <c r="F11" s="19"/>
      <c r="G11" s="19"/>
      <c r="H11" s="19"/>
      <c r="I11" s="19"/>
      <c r="J11" s="291" t="str">
        <f>IF(Intro!$G$21="English",O11,P11)</f>
        <v>Sélectionnez oui ou non</v>
      </c>
      <c r="K11" s="19"/>
      <c r="L11" s="38"/>
      <c r="O11" s="1" t="s">
        <v>362</v>
      </c>
      <c r="P11" s="1" t="s">
        <v>679</v>
      </c>
    </row>
    <row r="12" spans="1:16" s="152" customFormat="1" x14ac:dyDescent="0.25">
      <c r="A12" s="173"/>
      <c r="B12" s="473" t="str">
        <f>IF(Intro!$G$21="English",O12,P12)</f>
        <v>Confirmez que toutes les données déclarées dans ce questionnaire concernent les marchandises telles que définies dans l’onglet « Intro ».</v>
      </c>
      <c r="C12" s="474"/>
      <c r="D12" s="474"/>
      <c r="E12" s="474"/>
      <c r="F12" s="474"/>
      <c r="G12" s="474"/>
      <c r="H12" s="474"/>
      <c r="I12" s="474"/>
      <c r="J12" s="208"/>
      <c r="K12" s="174"/>
      <c r="L12" s="175"/>
      <c r="O12" s="152" t="s">
        <v>713</v>
      </c>
      <c r="P12" s="152" t="s">
        <v>714</v>
      </c>
    </row>
    <row r="13" spans="1:16" s="152" customFormat="1" x14ac:dyDescent="0.25">
      <c r="A13" s="173"/>
      <c r="B13" s="473" t="str">
        <f>IF(Intro!$G$21="English",O13,P13)</f>
        <v>Confirmez que tous les volumes déclarés dans ce questionnaire sont en tonnes.</v>
      </c>
      <c r="C13" s="474"/>
      <c r="D13" s="474"/>
      <c r="E13" s="474"/>
      <c r="F13" s="474"/>
      <c r="G13" s="474"/>
      <c r="H13" s="474"/>
      <c r="I13" s="474"/>
      <c r="J13" s="208"/>
      <c r="L13" s="175"/>
      <c r="O13" s="152" t="str">
        <f>"Confirm that all volumes reported in this questionnaire are in "&amp;Variables!B23&amp;"."</f>
        <v>Confirm that all volumes reported in this questionnaire are in tonnes.</v>
      </c>
      <c r="P13" s="152" t="str">
        <f>"Confirmez que tous les volumes déclarés dans ce questionnaire sont en "&amp;Variables!C23&amp;"."</f>
        <v>Confirmez que tous les volumes déclarés dans ce questionnaire sont en tonnes.</v>
      </c>
    </row>
    <row r="14" spans="1:16" s="152" customFormat="1" x14ac:dyDescent="0.25">
      <c r="A14" s="173"/>
      <c r="B14" s="473" t="str">
        <f>IF(Intro!$G$21="English",O14,P14)</f>
        <v>Confirmez que toutes les valeurs déclarées dans ce questionnaire sont en dollars canadiens.</v>
      </c>
      <c r="C14" s="474"/>
      <c r="D14" s="474"/>
      <c r="E14" s="474"/>
      <c r="F14" s="474"/>
      <c r="G14" s="474"/>
      <c r="H14" s="474"/>
      <c r="I14" s="474"/>
      <c r="J14" s="208"/>
      <c r="L14" s="175"/>
      <c r="O14" s="152" t="s">
        <v>432</v>
      </c>
      <c r="P14" s="152" t="s">
        <v>431</v>
      </c>
    </row>
    <row r="15" spans="1:16" s="152" customFormat="1" x14ac:dyDescent="0.25">
      <c r="A15" s="173"/>
      <c r="B15" s="473" t="str">
        <f>IF(Intro!$G$21="English",O15,P15)</f>
        <v>Confirmez que tous les renseignements déclarés le sont selon l’année civile.</v>
      </c>
      <c r="C15" s="474"/>
      <c r="D15" s="474"/>
      <c r="E15" s="474"/>
      <c r="F15" s="474"/>
      <c r="G15" s="474"/>
      <c r="H15" s="474"/>
      <c r="I15" s="474"/>
      <c r="J15" s="208"/>
      <c r="K15" s="174"/>
      <c r="L15" s="175"/>
      <c r="O15" s="152" t="s">
        <v>157</v>
      </c>
      <c r="P15" s="152" t="s">
        <v>158</v>
      </c>
    </row>
    <row r="16" spans="1:16" x14ac:dyDescent="0.25">
      <c r="B16" s="170"/>
      <c r="C16" s="171"/>
      <c r="D16" s="171"/>
      <c r="E16" s="171"/>
      <c r="F16" s="171"/>
      <c r="G16" s="171"/>
      <c r="H16" s="171"/>
      <c r="I16" s="171"/>
      <c r="J16" s="171"/>
      <c r="K16" s="171"/>
      <c r="L16" s="172"/>
      <c r="M16" s="2"/>
    </row>
    <row r="17" spans="1:16" x14ac:dyDescent="0.25">
      <c r="B17" s="456" t="str">
        <f>IF(Intro!$G$21="English",O17,P17)</f>
        <v>Si non, expliquez.</v>
      </c>
      <c r="C17" s="457"/>
      <c r="D17" s="457"/>
      <c r="E17" s="457"/>
      <c r="F17" s="457"/>
      <c r="G17" s="457"/>
      <c r="H17" s="457"/>
      <c r="I17" s="457"/>
      <c r="J17" s="457"/>
      <c r="K17" s="457"/>
      <c r="L17" s="458"/>
      <c r="M17" s="2"/>
      <c r="O17" s="155" t="s">
        <v>580</v>
      </c>
      <c r="P17" s="9" t="s">
        <v>581</v>
      </c>
    </row>
    <row r="18" spans="1:16" s="152" customFormat="1" x14ac:dyDescent="0.25">
      <c r="A18" s="173"/>
      <c r="B18" s="185"/>
      <c r="C18" s="174"/>
      <c r="D18" s="174"/>
      <c r="E18" s="174"/>
      <c r="F18" s="174"/>
      <c r="G18" s="174"/>
      <c r="H18" s="174"/>
      <c r="I18" s="174"/>
      <c r="J18" s="174"/>
      <c r="K18" s="174"/>
      <c r="L18" s="175"/>
      <c r="O18" s="9"/>
      <c r="P18" s="9"/>
    </row>
    <row r="19" spans="1:16" s="3" customFormat="1" x14ac:dyDescent="0.25">
      <c r="A19" s="12"/>
      <c r="B19" s="582"/>
      <c r="C19" s="583"/>
      <c r="D19" s="583"/>
      <c r="E19" s="583"/>
      <c r="F19" s="583"/>
      <c r="G19" s="583"/>
      <c r="H19" s="583"/>
      <c r="I19" s="583"/>
      <c r="J19" s="583"/>
      <c r="K19" s="583"/>
      <c r="L19" s="584"/>
      <c r="M19" s="152"/>
      <c r="O19" s="154"/>
      <c r="P19" s="154"/>
    </row>
    <row r="20" spans="1:16" s="3" customFormat="1" x14ac:dyDescent="0.25">
      <c r="A20" s="12"/>
      <c r="B20" s="582"/>
      <c r="C20" s="583"/>
      <c r="D20" s="583"/>
      <c r="E20" s="583"/>
      <c r="F20" s="583"/>
      <c r="G20" s="583"/>
      <c r="H20" s="583"/>
      <c r="I20" s="583"/>
      <c r="J20" s="583"/>
      <c r="K20" s="583"/>
      <c r="L20" s="584"/>
      <c r="M20" s="152"/>
      <c r="O20" s="154"/>
      <c r="P20" s="154"/>
    </row>
    <row r="21" spans="1:16" s="3" customFormat="1" x14ac:dyDescent="0.25">
      <c r="A21" s="12"/>
      <c r="B21" s="582"/>
      <c r="C21" s="583"/>
      <c r="D21" s="583"/>
      <c r="E21" s="583"/>
      <c r="F21" s="583"/>
      <c r="G21" s="583"/>
      <c r="H21" s="583"/>
      <c r="I21" s="583"/>
      <c r="J21" s="583"/>
      <c r="K21" s="583"/>
      <c r="L21" s="584"/>
      <c r="M21" s="152"/>
      <c r="O21" s="154"/>
      <c r="P21" s="154"/>
    </row>
    <row r="22" spans="1:16" s="3" customFormat="1" x14ac:dyDescent="0.25">
      <c r="A22" s="12"/>
      <c r="B22" s="582"/>
      <c r="C22" s="583"/>
      <c r="D22" s="583"/>
      <c r="E22" s="583"/>
      <c r="F22" s="583"/>
      <c r="G22" s="583"/>
      <c r="H22" s="583"/>
      <c r="I22" s="583"/>
      <c r="J22" s="583"/>
      <c r="K22" s="583"/>
      <c r="L22" s="584"/>
      <c r="M22" s="152"/>
      <c r="O22" s="154"/>
      <c r="P22" s="154"/>
    </row>
    <row r="23" spans="1:16" s="3" customFormat="1" x14ac:dyDescent="0.25">
      <c r="A23" s="12"/>
      <c r="B23" s="582"/>
      <c r="C23" s="583"/>
      <c r="D23" s="583"/>
      <c r="E23" s="583"/>
      <c r="F23" s="583"/>
      <c r="G23" s="583"/>
      <c r="H23" s="583"/>
      <c r="I23" s="583"/>
      <c r="J23" s="583"/>
      <c r="K23" s="583"/>
      <c r="L23" s="584"/>
      <c r="M23" s="152"/>
      <c r="O23" s="154"/>
      <c r="P23" s="154"/>
    </row>
    <row r="24" spans="1:16" s="3" customFormat="1" x14ac:dyDescent="0.25">
      <c r="A24" s="12"/>
      <c r="B24" s="582"/>
      <c r="C24" s="583"/>
      <c r="D24" s="583"/>
      <c r="E24" s="583"/>
      <c r="F24" s="583"/>
      <c r="G24" s="583"/>
      <c r="H24" s="583"/>
      <c r="I24" s="583"/>
      <c r="J24" s="583"/>
      <c r="K24" s="583"/>
      <c r="L24" s="584"/>
      <c r="M24" s="152"/>
      <c r="O24" s="154"/>
      <c r="P24" s="154"/>
    </row>
    <row r="25" spans="1:16" s="3" customFormat="1" x14ac:dyDescent="0.25">
      <c r="A25" s="12"/>
      <c r="B25" s="582"/>
      <c r="C25" s="583"/>
      <c r="D25" s="583"/>
      <c r="E25" s="583"/>
      <c r="F25" s="583"/>
      <c r="G25" s="583"/>
      <c r="H25" s="583"/>
      <c r="I25" s="583"/>
      <c r="J25" s="583"/>
      <c r="K25" s="583"/>
      <c r="L25" s="584"/>
      <c r="M25" s="152"/>
      <c r="O25" s="154"/>
      <c r="P25" s="154"/>
    </row>
    <row r="26" spans="1:16" s="3" customFormat="1" x14ac:dyDescent="0.25">
      <c r="A26" s="12"/>
      <c r="B26" s="582"/>
      <c r="C26" s="583"/>
      <c r="D26" s="583"/>
      <c r="E26" s="583"/>
      <c r="F26" s="583"/>
      <c r="G26" s="583"/>
      <c r="H26" s="583"/>
      <c r="I26" s="583"/>
      <c r="J26" s="583"/>
      <c r="K26" s="583"/>
      <c r="L26" s="584"/>
      <c r="M26" s="152"/>
      <c r="O26" s="154"/>
      <c r="P26" s="154"/>
    </row>
    <row r="27" spans="1:16" x14ac:dyDescent="0.25">
      <c r="B27" s="170"/>
      <c r="C27" s="171"/>
      <c r="D27" s="171"/>
      <c r="E27" s="171"/>
      <c r="F27" s="171"/>
      <c r="G27" s="171"/>
      <c r="H27" s="171"/>
      <c r="I27" s="171"/>
      <c r="J27" s="171"/>
      <c r="K27" s="171"/>
      <c r="L27" s="172"/>
      <c r="M27" s="2"/>
    </row>
    <row r="28" spans="1:16" x14ac:dyDescent="0.25">
      <c r="B28" s="868" t="str">
        <f>IF(Intro!$G$21="English",O28,P28)</f>
        <v>PRODUCTION ET VENTES</v>
      </c>
      <c r="C28" s="869"/>
      <c r="D28" s="869"/>
      <c r="E28" s="869"/>
      <c r="F28" s="869"/>
      <c r="G28" s="869"/>
      <c r="H28" s="869"/>
      <c r="I28" s="869"/>
      <c r="J28" s="869"/>
      <c r="K28" s="869"/>
      <c r="L28" s="870"/>
      <c r="M28" s="2"/>
      <c r="O28" s="199" t="s">
        <v>667</v>
      </c>
      <c r="P28" s="199" t="s">
        <v>668</v>
      </c>
    </row>
    <row r="29" spans="1:16" x14ac:dyDescent="0.25">
      <c r="B29" s="170"/>
      <c r="C29" s="171"/>
      <c r="D29" s="171"/>
      <c r="E29" s="171"/>
      <c r="F29" s="171"/>
      <c r="G29" s="171"/>
      <c r="H29" s="171"/>
      <c r="I29" s="171"/>
      <c r="J29" s="171"/>
      <c r="K29" s="171"/>
      <c r="L29" s="172"/>
      <c r="M29" s="2"/>
    </row>
    <row r="30" spans="1:16" x14ac:dyDescent="0.25">
      <c r="B30" s="456" t="str">
        <f>IF(Intro!$G$21="English",O30,P30)</f>
        <v>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v>
      </c>
      <c r="C30" s="457"/>
      <c r="D30" s="457"/>
      <c r="E30" s="457"/>
      <c r="F30" s="457"/>
      <c r="G30" s="457"/>
      <c r="H30" s="457"/>
      <c r="I30" s="457"/>
      <c r="J30" s="457"/>
      <c r="K30" s="457"/>
      <c r="L30" s="458"/>
      <c r="M30" s="2"/>
      <c r="O30" s="2" t="s">
        <v>335</v>
      </c>
      <c r="P30" s="2" t="s">
        <v>336</v>
      </c>
    </row>
    <row r="31" spans="1:16" x14ac:dyDescent="0.25">
      <c r="B31" s="456"/>
      <c r="C31" s="457"/>
      <c r="D31" s="457"/>
      <c r="E31" s="457"/>
      <c r="F31" s="457"/>
      <c r="G31" s="457"/>
      <c r="H31" s="457"/>
      <c r="I31" s="457"/>
      <c r="J31" s="457"/>
      <c r="K31" s="457"/>
      <c r="L31" s="458"/>
      <c r="M31" s="2"/>
    </row>
    <row r="32" spans="1:16" x14ac:dyDescent="0.25">
      <c r="B32" s="170"/>
      <c r="C32" s="171"/>
      <c r="D32" s="171"/>
      <c r="E32" s="171"/>
      <c r="F32" s="171"/>
      <c r="G32" s="171"/>
      <c r="H32" s="171"/>
      <c r="I32" s="171"/>
      <c r="J32" s="171"/>
      <c r="K32" s="171"/>
      <c r="L32" s="172"/>
      <c r="M32" s="2"/>
    </row>
    <row r="33" spans="1:16" x14ac:dyDescent="0.25">
      <c r="B33" s="159"/>
      <c r="C33" s="2"/>
      <c r="D33" s="2"/>
      <c r="E33" s="707">
        <f>Variables!B6</f>
        <v>2023</v>
      </c>
      <c r="F33" s="707">
        <f>E33+1</f>
        <v>2024</v>
      </c>
      <c r="G33" s="707">
        <f>F33+1</f>
        <v>2025</v>
      </c>
      <c r="H33" s="707" t="str">
        <f>IF(Intro!$G$21="English",Variables!B9,Variables!C9)</f>
        <v>janv- mars 2025</v>
      </c>
      <c r="I33" s="707" t="str">
        <f>IF(Intro!$G$21="English",Variables!B10,Variables!C10)</f>
        <v>janv- mars 2026</v>
      </c>
      <c r="J33" s="152"/>
      <c r="K33" s="152"/>
      <c r="L33" s="179"/>
      <c r="M33" s="2"/>
      <c r="O33" s="11"/>
    </row>
    <row r="34" spans="1:16" x14ac:dyDescent="0.25">
      <c r="B34" s="159"/>
      <c r="C34" s="2"/>
      <c r="D34" s="2"/>
      <c r="E34" s="708"/>
      <c r="F34" s="708"/>
      <c r="G34" s="708"/>
      <c r="H34" s="708"/>
      <c r="I34" s="708"/>
      <c r="J34" s="152"/>
      <c r="K34" s="152"/>
      <c r="L34" s="179"/>
      <c r="M34" s="2"/>
      <c r="O34" s="11"/>
    </row>
    <row r="35" spans="1:16" s="152" customFormat="1" x14ac:dyDescent="0.25">
      <c r="A35" s="173"/>
      <c r="B35" s="614" t="str">
        <f>IF(Intro!$G$21="English",O35,P35)</f>
        <v>Production</v>
      </c>
      <c r="C35" s="615"/>
      <c r="D35" s="615"/>
      <c r="E35" s="220" t="str">
        <f>IF('Pro 1'!G24&lt;&gt;0,"X","-")</f>
        <v>-</v>
      </c>
      <c r="F35" s="220" t="str">
        <f>IF('Pro 1'!H24&lt;&gt;0,"X","-")</f>
        <v>-</v>
      </c>
      <c r="G35" s="220" t="str">
        <f>IF('Pro 1'!I24&lt;&gt;0,"X","-")</f>
        <v>-</v>
      </c>
      <c r="H35" s="220" t="str">
        <f>IF('Pro 1'!J24&lt;&gt;0,"X","-")</f>
        <v>-</v>
      </c>
      <c r="I35" s="220" t="str">
        <f>IF('Pro 1'!K24&lt;&gt;0,"X","-")</f>
        <v>-</v>
      </c>
      <c r="L35" s="179"/>
      <c r="O35" s="152" t="s">
        <v>40</v>
      </c>
      <c r="P35" s="152" t="s">
        <v>40</v>
      </c>
    </row>
    <row r="36" spans="1:16" s="152" customFormat="1" x14ac:dyDescent="0.25">
      <c r="A36" s="173"/>
      <c r="B36" s="614" t="str">
        <f>'Pro 2'!B28</f>
        <v>Ventes aux revendeurs / distributeurs au Canada</v>
      </c>
      <c r="C36" s="615"/>
      <c r="D36" s="615"/>
      <c r="E36" s="220" t="str">
        <f>IF(SUM('Pro 2'!G28:G29)&lt;&gt;0,"X","-")</f>
        <v>-</v>
      </c>
      <c r="F36" s="220" t="str">
        <f>IF(SUM('Pro 2'!H28:H29)&lt;&gt;0,"X","-")</f>
        <v>-</v>
      </c>
      <c r="G36" s="220" t="str">
        <f>IF(SUM('Pro 2'!I28:I29)&lt;&gt;0,"X","-")</f>
        <v>-</v>
      </c>
      <c r="H36" s="220" t="str">
        <f>IF(SUM('Pro 2'!J28:J29)&lt;&gt;0,"X","-")</f>
        <v>-</v>
      </c>
      <c r="I36" s="220" t="str">
        <f>IF(SUM('Pro 2'!K28:K29)&lt;&gt;0,"X","-")</f>
        <v>-</v>
      </c>
      <c r="L36" s="179"/>
    </row>
    <row r="37" spans="1:16" s="152" customFormat="1" x14ac:dyDescent="0.25">
      <c r="A37" s="173"/>
      <c r="B37" s="614" t="str">
        <f>'Pro 2'!B31</f>
        <v>Ventes aux utilisateurs finals au Canada</v>
      </c>
      <c r="C37" s="615"/>
      <c r="D37" s="615"/>
      <c r="E37" s="220" t="str">
        <f>IF(SUM('Pro 2'!G31:G32)&lt;&gt;0,"X","-")</f>
        <v>-</v>
      </c>
      <c r="F37" s="220" t="str">
        <f>IF(SUM('Pro 2'!H31:H32)&lt;&gt;0,"X","-")</f>
        <v>-</v>
      </c>
      <c r="G37" s="220" t="str">
        <f>IF(SUM('Pro 2'!I31:I32)&lt;&gt;0,"X","-")</f>
        <v>-</v>
      </c>
      <c r="H37" s="220" t="str">
        <f>IF(SUM('Pro 2'!J31:J32)&lt;&gt;0,"X","-")</f>
        <v>-</v>
      </c>
      <c r="I37" s="220" t="str">
        <f>IF(SUM('Pro 2'!K31:K32)&lt;&gt;0,"X","-")</f>
        <v>-</v>
      </c>
      <c r="L37" s="179"/>
    </row>
    <row r="38" spans="1:16" s="152" customFormat="1" x14ac:dyDescent="0.25">
      <c r="A38" s="173"/>
      <c r="B38" s="614" t="str">
        <f>'Pro 2'!B37</f>
        <v>Ventes à l'exportation</v>
      </c>
      <c r="C38" s="615"/>
      <c r="D38" s="615"/>
      <c r="E38" s="220" t="str">
        <f>IF(SUM('Pro 2'!G37:G38)&lt;&gt;0,"X","-")</f>
        <v>-</v>
      </c>
      <c r="F38" s="220" t="str">
        <f>IF(SUM('Pro 2'!H37:H38)&lt;&gt;0,"X","-")</f>
        <v>-</v>
      </c>
      <c r="G38" s="220" t="str">
        <f>IF(SUM('Pro 2'!I37:I38)&lt;&gt;0,"X","-")</f>
        <v>-</v>
      </c>
      <c r="H38" s="220" t="str">
        <f>IF(SUM('Pro 2'!J37:J38)&lt;&gt;0,"X","-")</f>
        <v>-</v>
      </c>
      <c r="I38" s="220" t="str">
        <f>IF(SUM('Pro 2'!K37:K38)&lt;&gt;0,"X","-")</f>
        <v>-</v>
      </c>
      <c r="L38" s="179"/>
    </row>
    <row r="39" spans="1:16" x14ac:dyDescent="0.25">
      <c r="B39" s="176"/>
      <c r="C39" s="177"/>
      <c r="D39" s="177"/>
      <c r="E39" s="177"/>
      <c r="F39" s="177"/>
      <c r="G39" s="177"/>
      <c r="H39" s="177"/>
      <c r="I39" s="177"/>
      <c r="J39" s="177"/>
      <c r="K39" s="177"/>
      <c r="L39" s="178"/>
      <c r="M39" s="2"/>
    </row>
    <row r="40" spans="1:16" x14ac:dyDescent="0.25">
      <c r="B40" s="453" t="str">
        <f>'Pro 4'!B12</f>
        <v>EFFETS NÉGATIFS DES IMPORTATIONS</v>
      </c>
      <c r="C40" s="454"/>
      <c r="D40" s="454"/>
      <c r="E40" s="454"/>
      <c r="F40" s="454"/>
      <c r="G40" s="454"/>
      <c r="H40" s="454"/>
      <c r="I40" s="454"/>
      <c r="J40" s="454"/>
      <c r="K40" s="454"/>
      <c r="L40" s="455"/>
      <c r="M40" s="2"/>
    </row>
    <row r="41" spans="1:16" x14ac:dyDescent="0.25">
      <c r="B41" s="170"/>
      <c r="C41" s="171"/>
      <c r="D41" s="171"/>
      <c r="E41" s="171"/>
      <c r="F41" s="171"/>
      <c r="G41" s="171"/>
      <c r="H41" s="171"/>
      <c r="I41" s="171"/>
      <c r="J41" s="171"/>
      <c r="K41" s="171"/>
      <c r="L41" s="172"/>
      <c r="M41" s="2"/>
    </row>
    <row r="42" spans="1:16" x14ac:dyDescent="0.25">
      <c r="B42" s="456" t="str">
        <f>IF(Intro!$G$21="English",O42,P42)</f>
        <v>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v>
      </c>
      <c r="C42" s="457"/>
      <c r="D42" s="457"/>
      <c r="E42" s="457"/>
      <c r="F42" s="457"/>
      <c r="G42" s="457"/>
      <c r="H42" s="457"/>
      <c r="I42" s="457"/>
      <c r="J42" s="457"/>
      <c r="K42" s="457"/>
      <c r="L42" s="458"/>
      <c r="M42" s="2"/>
      <c r="O42" s="2" t="s">
        <v>387</v>
      </c>
      <c r="P42" s="2" t="s">
        <v>388</v>
      </c>
    </row>
    <row r="43" spans="1:16" x14ac:dyDescent="0.25">
      <c r="B43" s="456"/>
      <c r="C43" s="457"/>
      <c r="D43" s="457"/>
      <c r="E43" s="457"/>
      <c r="F43" s="457"/>
      <c r="G43" s="457"/>
      <c r="H43" s="457"/>
      <c r="I43" s="457"/>
      <c r="J43" s="457"/>
      <c r="K43" s="457"/>
      <c r="L43" s="458"/>
      <c r="M43" s="2"/>
    </row>
    <row r="44" spans="1:16" x14ac:dyDescent="0.25">
      <c r="B44" s="159"/>
      <c r="C44" s="26"/>
      <c r="D44" s="26"/>
      <c r="E44" s="26"/>
      <c r="F44" s="26"/>
      <c r="G44" s="26"/>
      <c r="H44" s="26"/>
      <c r="I44" s="26"/>
      <c r="J44" s="26"/>
      <c r="K44" s="26"/>
      <c r="L44" s="27"/>
      <c r="M44" s="2"/>
      <c r="O44" s="11"/>
    </row>
    <row r="45" spans="1:16" x14ac:dyDescent="0.25">
      <c r="B45" s="229" t="str">
        <f>'Pro 4'!B152</f>
        <v>Allegation</v>
      </c>
      <c r="C45" s="866">
        <v>1</v>
      </c>
      <c r="D45" s="866"/>
      <c r="E45" s="866">
        <v>2</v>
      </c>
      <c r="F45" s="866">
        <v>4</v>
      </c>
      <c r="G45" s="866">
        <v>3</v>
      </c>
      <c r="H45" s="866">
        <v>6</v>
      </c>
      <c r="I45" s="866">
        <v>4</v>
      </c>
      <c r="J45" s="866">
        <v>8</v>
      </c>
      <c r="K45" s="866">
        <v>5</v>
      </c>
      <c r="L45" s="867">
        <v>10</v>
      </c>
      <c r="M45" s="2"/>
      <c r="O45" s="11"/>
    </row>
    <row r="46" spans="1:16" s="3" customFormat="1" x14ac:dyDescent="0.25">
      <c r="A46" s="18"/>
      <c r="B46" s="693" t="str">
        <f>'Pro 4'!B153</f>
        <v>Renseignements généraux</v>
      </c>
      <c r="C46" s="605"/>
      <c r="D46" s="605"/>
      <c r="E46" s="605"/>
      <c r="F46" s="605"/>
      <c r="G46" s="605"/>
      <c r="H46" s="605"/>
      <c r="I46" s="605"/>
      <c r="J46" s="605"/>
      <c r="K46" s="605"/>
      <c r="L46" s="606"/>
      <c r="O46" s="4"/>
    </row>
    <row r="47" spans="1:16" x14ac:dyDescent="0.25">
      <c r="B47" s="473" t="str">
        <f>'Pro 4'!B160</f>
        <v>Nature du dommage allégué (P)</v>
      </c>
      <c r="C47" s="864" t="str">
        <f>IF('Pro 4'!C160="","-",'Pro 4'!C160)</f>
        <v>-</v>
      </c>
      <c r="D47" s="864"/>
      <c r="E47" s="864" t="str">
        <f>IF('Pro 4'!E160="","-",'Pro 4'!E160)</f>
        <v>-</v>
      </c>
      <c r="F47" s="864"/>
      <c r="G47" s="864" t="str">
        <f>IF('Pro 4'!G160="","-",'Pro 4'!G160)</f>
        <v>-</v>
      </c>
      <c r="H47" s="864"/>
      <c r="I47" s="864" t="str">
        <f>IF('Pro 4'!I160="","-",'Pro 4'!I160)</f>
        <v>-</v>
      </c>
      <c r="J47" s="864"/>
      <c r="K47" s="864" t="str">
        <f>IF('Pro 4'!K160="","-",'Pro 4'!K160)</f>
        <v>-</v>
      </c>
      <c r="L47" s="865"/>
      <c r="M47" s="2"/>
    </row>
    <row r="48" spans="1:16" x14ac:dyDescent="0.25">
      <c r="B48" s="473"/>
      <c r="C48" s="864"/>
      <c r="D48" s="864"/>
      <c r="E48" s="864"/>
      <c r="F48" s="864"/>
      <c r="G48" s="864"/>
      <c r="H48" s="864"/>
      <c r="I48" s="864"/>
      <c r="J48" s="864"/>
      <c r="K48" s="864"/>
      <c r="L48" s="865"/>
      <c r="M48" s="2"/>
    </row>
    <row r="49" spans="1:17" x14ac:dyDescent="0.25">
      <c r="B49" s="473"/>
      <c r="C49" s="864"/>
      <c r="D49" s="864"/>
      <c r="E49" s="864"/>
      <c r="F49" s="864"/>
      <c r="G49" s="864"/>
      <c r="H49" s="864"/>
      <c r="I49" s="864"/>
      <c r="J49" s="864"/>
      <c r="K49" s="864"/>
      <c r="L49" s="865"/>
      <c r="M49" s="2"/>
    </row>
    <row r="50" spans="1:17" s="3" customFormat="1" x14ac:dyDescent="0.25">
      <c r="A50" s="12"/>
      <c r="B50" s="693" t="str">
        <f>'Pro 4'!B163</f>
        <v>Offre du producteur national</v>
      </c>
      <c r="C50" s="605"/>
      <c r="D50" s="605"/>
      <c r="E50" s="605"/>
      <c r="F50" s="605"/>
      <c r="G50" s="605"/>
      <c r="H50" s="605"/>
      <c r="I50" s="605"/>
      <c r="J50" s="605"/>
      <c r="K50" s="605"/>
      <c r="L50" s="606"/>
      <c r="O50" s="4"/>
      <c r="P50" s="4"/>
      <c r="Q50" s="4"/>
    </row>
    <row r="51" spans="1:17" x14ac:dyDescent="0.25">
      <c r="B51" s="473" t="str">
        <f>'Pro 4'!B164</f>
        <v>Description du produit (P)</v>
      </c>
      <c r="C51" s="864" t="str">
        <f>IF('Pro 4'!C164="","-",'Pro 4'!C164)</f>
        <v>-</v>
      </c>
      <c r="D51" s="864"/>
      <c r="E51" s="864" t="str">
        <f>IF('Pro 4'!E164="","-",'Pro 4'!E164)</f>
        <v>-</v>
      </c>
      <c r="F51" s="864"/>
      <c r="G51" s="864" t="str">
        <f>IF('Pro 4'!G164="","-",'Pro 4'!G164)</f>
        <v>-</v>
      </c>
      <c r="H51" s="864"/>
      <c r="I51" s="864" t="str">
        <f>IF('Pro 4'!I164="","-",'Pro 4'!I164)</f>
        <v>-</v>
      </c>
      <c r="J51" s="864"/>
      <c r="K51" s="864" t="str">
        <f>IF('Pro 4'!K164="","-",'Pro 4'!K164)</f>
        <v>-</v>
      </c>
      <c r="L51" s="865"/>
      <c r="M51" s="2"/>
    </row>
    <row r="52" spans="1:17" x14ac:dyDescent="0.25">
      <c r="B52" s="473"/>
      <c r="C52" s="864"/>
      <c r="D52" s="864"/>
      <c r="E52" s="864"/>
      <c r="F52" s="864"/>
      <c r="G52" s="864"/>
      <c r="H52" s="864"/>
      <c r="I52" s="864"/>
      <c r="J52" s="864"/>
      <c r="K52" s="864"/>
      <c r="L52" s="865"/>
      <c r="M52" s="2"/>
    </row>
    <row r="53" spans="1:17" x14ac:dyDescent="0.25">
      <c r="B53" s="473"/>
      <c r="C53" s="864"/>
      <c r="D53" s="864"/>
      <c r="E53" s="864"/>
      <c r="F53" s="864"/>
      <c r="G53" s="864"/>
      <c r="H53" s="864"/>
      <c r="I53" s="864"/>
      <c r="J53" s="864"/>
      <c r="K53" s="864"/>
      <c r="L53" s="865"/>
      <c r="M53" s="2"/>
    </row>
    <row r="54" spans="1:17" x14ac:dyDescent="0.25">
      <c r="B54" s="473"/>
      <c r="C54" s="864"/>
      <c r="D54" s="864"/>
      <c r="E54" s="864"/>
      <c r="F54" s="864"/>
      <c r="G54" s="864"/>
      <c r="H54" s="864"/>
      <c r="I54" s="864"/>
      <c r="J54" s="864"/>
      <c r="K54" s="864"/>
      <c r="L54" s="865"/>
      <c r="M54" s="2"/>
    </row>
    <row r="55" spans="1:17" x14ac:dyDescent="0.25">
      <c r="B55" s="473" t="str">
        <f>'Pro 4'!B168</f>
        <v>Date de la transaction (P)</v>
      </c>
      <c r="C55" s="864" t="str">
        <f>IF('Pro 4'!C168="","-",'Pro 4'!C168)</f>
        <v>-</v>
      </c>
      <c r="D55" s="864"/>
      <c r="E55" s="864" t="str">
        <f>IF('Pro 4'!E168="","-",'Pro 4'!E168)</f>
        <v>-</v>
      </c>
      <c r="F55" s="864"/>
      <c r="G55" s="864" t="str">
        <f>IF('Pro 4'!G168="","-",'Pro 4'!G168)</f>
        <v>-</v>
      </c>
      <c r="H55" s="864"/>
      <c r="I55" s="864" t="str">
        <f>IF('Pro 4'!I168="","-",'Pro 4'!I168)</f>
        <v>-</v>
      </c>
      <c r="J55" s="864"/>
      <c r="K55" s="864" t="str">
        <f>IF('Pro 4'!K168="","-",'Pro 4'!K168)</f>
        <v>-</v>
      </c>
      <c r="L55" s="865"/>
      <c r="M55" s="2"/>
    </row>
    <row r="56" spans="1:17" x14ac:dyDescent="0.25">
      <c r="B56" s="473"/>
      <c r="C56" s="864"/>
      <c r="D56" s="864"/>
      <c r="E56" s="864"/>
      <c r="F56" s="864"/>
      <c r="G56" s="864"/>
      <c r="H56" s="864"/>
      <c r="I56" s="864"/>
      <c r="J56" s="864"/>
      <c r="K56" s="864"/>
      <c r="L56" s="865"/>
      <c r="M56" s="2"/>
    </row>
    <row r="57" spans="1:17" s="3" customFormat="1" x14ac:dyDescent="0.25">
      <c r="A57" s="12"/>
      <c r="B57" s="693" t="str">
        <f>'Pro 4'!B179</f>
        <v>Offre du concurrent</v>
      </c>
      <c r="C57" s="605"/>
      <c r="D57" s="605"/>
      <c r="E57" s="605"/>
      <c r="F57" s="605"/>
      <c r="G57" s="605"/>
      <c r="H57" s="605"/>
      <c r="I57" s="605"/>
      <c r="J57" s="605"/>
      <c r="K57" s="605"/>
      <c r="L57" s="606"/>
      <c r="O57" s="4"/>
    </row>
    <row r="58" spans="1:17" x14ac:dyDescent="0.25">
      <c r="B58" s="473" t="str">
        <f>'Pro 4'!B182</f>
        <v>Description du produit (P)</v>
      </c>
      <c r="C58" s="864" t="str">
        <f>IF('Pro 4'!C182="","-",'Pro 4'!C182)</f>
        <v>-</v>
      </c>
      <c r="D58" s="864"/>
      <c r="E58" s="864" t="str">
        <f>IF('Pro 4'!E182="","-",'Pro 4'!E182)</f>
        <v>-</v>
      </c>
      <c r="F58" s="864"/>
      <c r="G58" s="864" t="str">
        <f>IF('Pro 4'!G182="","-",'Pro 4'!G182)</f>
        <v>-</v>
      </c>
      <c r="H58" s="864"/>
      <c r="I58" s="864" t="str">
        <f>IF('Pro 4'!I182="","-",'Pro 4'!I182)</f>
        <v>-</v>
      </c>
      <c r="J58" s="864"/>
      <c r="K58" s="864" t="str">
        <f>IF('Pro 4'!K182="","-",'Pro 4'!K182)</f>
        <v>-</v>
      </c>
      <c r="L58" s="865"/>
      <c r="M58" s="2"/>
    </row>
    <row r="59" spans="1:17" x14ac:dyDescent="0.25">
      <c r="B59" s="473"/>
      <c r="C59" s="864"/>
      <c r="D59" s="864"/>
      <c r="E59" s="864"/>
      <c r="F59" s="864"/>
      <c r="G59" s="864"/>
      <c r="H59" s="864"/>
      <c r="I59" s="864"/>
      <c r="J59" s="864"/>
      <c r="K59" s="864"/>
      <c r="L59" s="865"/>
      <c r="M59" s="2"/>
    </row>
    <row r="60" spans="1:17" x14ac:dyDescent="0.25">
      <c r="B60" s="473"/>
      <c r="C60" s="864"/>
      <c r="D60" s="864"/>
      <c r="E60" s="864"/>
      <c r="F60" s="864"/>
      <c r="G60" s="864"/>
      <c r="H60" s="864"/>
      <c r="I60" s="864"/>
      <c r="J60" s="864"/>
      <c r="K60" s="864"/>
      <c r="L60" s="865"/>
      <c r="M60" s="2"/>
    </row>
    <row r="61" spans="1:17" x14ac:dyDescent="0.25">
      <c r="B61" s="473"/>
      <c r="C61" s="864"/>
      <c r="D61" s="864"/>
      <c r="E61" s="864"/>
      <c r="F61" s="864"/>
      <c r="G61" s="864"/>
      <c r="H61" s="864"/>
      <c r="I61" s="864"/>
      <c r="J61" s="864"/>
      <c r="K61" s="864"/>
      <c r="L61" s="865"/>
      <c r="M61" s="2"/>
    </row>
    <row r="62" spans="1:17" x14ac:dyDescent="0.25">
      <c r="B62" s="478" t="str">
        <f>'Pro 4'!B186</f>
        <v>Pays d'origine (P)</v>
      </c>
      <c r="C62" s="874" t="str">
        <f>IF('Pro 4'!C186="","-",'Pro 4'!C186)</f>
        <v>-</v>
      </c>
      <c r="D62" s="874"/>
      <c r="E62" s="874" t="str">
        <f>IF('Pro 4'!E186="","-",'Pro 4'!E186)</f>
        <v>-</v>
      </c>
      <c r="F62" s="874"/>
      <c r="G62" s="874" t="str">
        <f>IF('Pro 4'!G186="","-",'Pro 4'!G186)</f>
        <v>-</v>
      </c>
      <c r="H62" s="874"/>
      <c r="I62" s="874" t="str">
        <f>IF('Pro 4'!I186="","-",'Pro 4'!I186)</f>
        <v>-</v>
      </c>
      <c r="J62" s="874"/>
      <c r="K62" s="874" t="str">
        <f>IF('Pro 4'!K186="","-",'Pro 4'!K186)</f>
        <v>-</v>
      </c>
      <c r="L62" s="875"/>
      <c r="M62" s="2"/>
    </row>
    <row r="63" spans="1:17" x14ac:dyDescent="0.25">
      <c r="B63" s="482"/>
      <c r="C63" s="876"/>
      <c r="D63" s="876"/>
      <c r="E63" s="876"/>
      <c r="F63" s="876"/>
      <c r="G63" s="876"/>
      <c r="H63" s="876"/>
      <c r="I63" s="876"/>
      <c r="J63" s="876"/>
      <c r="K63" s="876"/>
      <c r="L63" s="877"/>
      <c r="M63" s="2"/>
    </row>
    <row r="64" spans="1:17" x14ac:dyDescent="0.25">
      <c r="B64" s="231"/>
      <c r="C64" s="201"/>
      <c r="D64" s="201"/>
      <c r="E64" s="201"/>
      <c r="F64" s="201"/>
      <c r="G64" s="201"/>
      <c r="H64" s="201"/>
      <c r="I64" s="201"/>
      <c r="J64" s="201"/>
      <c r="K64" s="201"/>
      <c r="L64" s="202"/>
      <c r="M64" s="2"/>
      <c r="O64" s="11"/>
    </row>
    <row r="65" spans="1:17" x14ac:dyDescent="0.25">
      <c r="B65" s="229" t="str">
        <f>B45</f>
        <v>Allegation</v>
      </c>
      <c r="C65" s="866">
        <v>6</v>
      </c>
      <c r="D65" s="866"/>
      <c r="E65" s="866">
        <v>7</v>
      </c>
      <c r="F65" s="866">
        <v>4</v>
      </c>
      <c r="G65" s="866">
        <v>8</v>
      </c>
      <c r="H65" s="866">
        <v>6</v>
      </c>
      <c r="I65" s="866">
        <v>9</v>
      </c>
      <c r="J65" s="866">
        <v>8</v>
      </c>
      <c r="K65" s="866">
        <v>10</v>
      </c>
      <c r="L65" s="867">
        <v>10</v>
      </c>
      <c r="M65" s="2"/>
      <c r="O65" s="11"/>
    </row>
    <row r="66" spans="1:17" s="3" customFormat="1" x14ac:dyDescent="0.25">
      <c r="A66" s="18"/>
      <c r="B66" s="871" t="str">
        <f>B46</f>
        <v>Renseignements généraux</v>
      </c>
      <c r="C66" s="872"/>
      <c r="D66" s="872"/>
      <c r="E66" s="872"/>
      <c r="F66" s="872"/>
      <c r="G66" s="872"/>
      <c r="H66" s="872"/>
      <c r="I66" s="872"/>
      <c r="J66" s="872"/>
      <c r="K66" s="872"/>
      <c r="L66" s="873"/>
      <c r="O66" s="4"/>
    </row>
    <row r="67" spans="1:17" x14ac:dyDescent="0.25">
      <c r="B67" s="473" t="str">
        <f>B47</f>
        <v>Nature du dommage allégué (P)</v>
      </c>
      <c r="C67" s="864" t="str">
        <f>IF('Pro 4'!C205="","-",'Pro 4'!C205)</f>
        <v>-</v>
      </c>
      <c r="D67" s="864"/>
      <c r="E67" s="864" t="str">
        <f>IF('Pro 4'!E205="","-",'Pro 4'!E205)</f>
        <v>-</v>
      </c>
      <c r="F67" s="864"/>
      <c r="G67" s="864" t="str">
        <f>IF('Pro 4'!G205="","-",'Pro 4'!G205)</f>
        <v>-</v>
      </c>
      <c r="H67" s="864"/>
      <c r="I67" s="864" t="str">
        <f>IF('Pro 4'!I205="","-",'Pro 4'!I205)</f>
        <v>-</v>
      </c>
      <c r="J67" s="864"/>
      <c r="K67" s="864" t="str">
        <f>IF('Pro 4'!K205="","-",'Pro 4'!K205)</f>
        <v>-</v>
      </c>
      <c r="L67" s="865"/>
      <c r="M67" s="2"/>
    </row>
    <row r="68" spans="1:17" x14ac:dyDescent="0.25">
      <c r="B68" s="473"/>
      <c r="C68" s="864"/>
      <c r="D68" s="864"/>
      <c r="E68" s="864"/>
      <c r="F68" s="864"/>
      <c r="G68" s="864"/>
      <c r="H68" s="864"/>
      <c r="I68" s="864"/>
      <c r="J68" s="864"/>
      <c r="K68" s="864"/>
      <c r="L68" s="865"/>
      <c r="M68" s="2"/>
    </row>
    <row r="69" spans="1:17" x14ac:dyDescent="0.25">
      <c r="B69" s="473"/>
      <c r="C69" s="864"/>
      <c r="D69" s="864"/>
      <c r="E69" s="864"/>
      <c r="F69" s="864"/>
      <c r="G69" s="864"/>
      <c r="H69" s="864"/>
      <c r="I69" s="864"/>
      <c r="J69" s="864"/>
      <c r="K69" s="864"/>
      <c r="L69" s="865"/>
      <c r="M69" s="2"/>
    </row>
    <row r="70" spans="1:17" s="3" customFormat="1" x14ac:dyDescent="0.25">
      <c r="A70" s="12"/>
      <c r="B70" s="693" t="str">
        <f>B50</f>
        <v>Offre du producteur national</v>
      </c>
      <c r="C70" s="605"/>
      <c r="D70" s="605"/>
      <c r="E70" s="605"/>
      <c r="F70" s="605"/>
      <c r="G70" s="605"/>
      <c r="H70" s="605"/>
      <c r="I70" s="605"/>
      <c r="J70" s="605"/>
      <c r="K70" s="605"/>
      <c r="L70" s="606"/>
      <c r="O70" s="4"/>
      <c r="P70" s="4"/>
      <c r="Q70" s="4"/>
    </row>
    <row r="71" spans="1:17" x14ac:dyDescent="0.25">
      <c r="B71" s="473" t="str">
        <f>B51</f>
        <v>Description du produit (P)</v>
      </c>
      <c r="C71" s="864" t="str">
        <f>IF('Pro 4'!C209="","-",'Pro 4'!C209)</f>
        <v>-</v>
      </c>
      <c r="D71" s="864"/>
      <c r="E71" s="864" t="str">
        <f>IF('Pro 4'!E209="","-",'Pro 4'!E209)</f>
        <v>-</v>
      </c>
      <c r="F71" s="864"/>
      <c r="G71" s="864" t="str">
        <f>IF('Pro 4'!G209="","-",'Pro 4'!G209)</f>
        <v>-</v>
      </c>
      <c r="H71" s="864"/>
      <c r="I71" s="864" t="str">
        <f>IF('Pro 4'!I209="","-",'Pro 4'!I209)</f>
        <v>-</v>
      </c>
      <c r="J71" s="864"/>
      <c r="K71" s="864" t="str">
        <f>IF('Pro 4'!K209="","-",'Pro 4'!K209)</f>
        <v>-</v>
      </c>
      <c r="L71" s="865"/>
      <c r="M71" s="2"/>
    </row>
    <row r="72" spans="1:17" x14ac:dyDescent="0.25">
      <c r="B72" s="473"/>
      <c r="C72" s="864"/>
      <c r="D72" s="864"/>
      <c r="E72" s="864"/>
      <c r="F72" s="864"/>
      <c r="G72" s="864"/>
      <c r="H72" s="864"/>
      <c r="I72" s="864"/>
      <c r="J72" s="864"/>
      <c r="K72" s="864"/>
      <c r="L72" s="865"/>
      <c r="M72" s="2"/>
    </row>
    <row r="73" spans="1:17" x14ac:dyDescent="0.25">
      <c r="B73" s="473"/>
      <c r="C73" s="864"/>
      <c r="D73" s="864"/>
      <c r="E73" s="864"/>
      <c r="F73" s="864"/>
      <c r="G73" s="864"/>
      <c r="H73" s="864"/>
      <c r="I73" s="864"/>
      <c r="J73" s="864"/>
      <c r="K73" s="864"/>
      <c r="L73" s="865"/>
      <c r="M73" s="2"/>
    </row>
    <row r="74" spans="1:17" x14ac:dyDescent="0.25">
      <c r="B74" s="473"/>
      <c r="C74" s="864"/>
      <c r="D74" s="864"/>
      <c r="E74" s="864"/>
      <c r="F74" s="864"/>
      <c r="G74" s="864"/>
      <c r="H74" s="864"/>
      <c r="I74" s="864"/>
      <c r="J74" s="864"/>
      <c r="K74" s="864"/>
      <c r="L74" s="865"/>
      <c r="M74" s="2"/>
    </row>
    <row r="75" spans="1:17" x14ac:dyDescent="0.25">
      <c r="B75" s="473" t="str">
        <f>B55</f>
        <v>Date de la transaction (P)</v>
      </c>
      <c r="C75" s="864" t="str">
        <f>IF('Pro 4'!C213="","-",'Pro 4'!C213)</f>
        <v>-</v>
      </c>
      <c r="D75" s="864"/>
      <c r="E75" s="864" t="str">
        <f>IF('Pro 4'!E213="","-",'Pro 4'!E213)</f>
        <v>-</v>
      </c>
      <c r="F75" s="864"/>
      <c r="G75" s="864" t="str">
        <f>IF('Pro 4'!G213="","-",'Pro 4'!G213)</f>
        <v>-</v>
      </c>
      <c r="H75" s="864"/>
      <c r="I75" s="864" t="str">
        <f>IF('Pro 4'!I213="","-",'Pro 4'!I213)</f>
        <v>-</v>
      </c>
      <c r="J75" s="864"/>
      <c r="K75" s="864" t="str">
        <f>IF('Pro 4'!K213="","-",'Pro 4'!K213)</f>
        <v>-</v>
      </c>
      <c r="L75" s="865"/>
      <c r="M75" s="2"/>
    </row>
    <row r="76" spans="1:17" x14ac:dyDescent="0.25">
      <c r="B76" s="473"/>
      <c r="C76" s="864"/>
      <c r="D76" s="864"/>
      <c r="E76" s="864"/>
      <c r="F76" s="864"/>
      <c r="G76" s="864"/>
      <c r="H76" s="864"/>
      <c r="I76" s="864"/>
      <c r="J76" s="864"/>
      <c r="K76" s="864"/>
      <c r="L76" s="865"/>
      <c r="M76" s="2"/>
    </row>
    <row r="77" spans="1:17" s="3" customFormat="1" x14ac:dyDescent="0.25">
      <c r="A77" s="12"/>
      <c r="B77" s="693" t="str">
        <f>B57</f>
        <v>Offre du concurrent</v>
      </c>
      <c r="C77" s="605"/>
      <c r="D77" s="605"/>
      <c r="E77" s="605"/>
      <c r="F77" s="605"/>
      <c r="G77" s="605"/>
      <c r="H77" s="605"/>
      <c r="I77" s="605"/>
      <c r="J77" s="605"/>
      <c r="K77" s="605"/>
      <c r="L77" s="606"/>
      <c r="O77" s="4"/>
    </row>
    <row r="78" spans="1:17" x14ac:dyDescent="0.25">
      <c r="B78" s="473" t="str">
        <f>B58</f>
        <v>Description du produit (P)</v>
      </c>
      <c r="C78" s="864" t="str">
        <f>IF('Pro 4'!C227="","-",'Pro 4'!C227)</f>
        <v>-</v>
      </c>
      <c r="D78" s="864"/>
      <c r="E78" s="864" t="str">
        <f>IF('Pro 4'!E227="","-",'Pro 4'!E227)</f>
        <v>-</v>
      </c>
      <c r="F78" s="864"/>
      <c r="G78" s="864" t="str">
        <f>IF('Pro 4'!G227="","-",'Pro 4'!G227)</f>
        <v>-</v>
      </c>
      <c r="H78" s="864"/>
      <c r="I78" s="864" t="str">
        <f>IF('Pro 4'!I227="","-",'Pro 4'!I227)</f>
        <v>-</v>
      </c>
      <c r="J78" s="864"/>
      <c r="K78" s="864" t="str">
        <f>IF('Pro 4'!K227="","-",'Pro 4'!K227)</f>
        <v>-</v>
      </c>
      <c r="L78" s="865"/>
      <c r="M78" s="2"/>
    </row>
    <row r="79" spans="1:17" x14ac:dyDescent="0.25">
      <c r="B79" s="473"/>
      <c r="C79" s="864"/>
      <c r="D79" s="864"/>
      <c r="E79" s="864"/>
      <c r="F79" s="864"/>
      <c r="G79" s="864"/>
      <c r="H79" s="864"/>
      <c r="I79" s="864"/>
      <c r="J79" s="864"/>
      <c r="K79" s="864"/>
      <c r="L79" s="865"/>
      <c r="M79" s="2"/>
    </row>
    <row r="80" spans="1:17" x14ac:dyDescent="0.25">
      <c r="B80" s="473"/>
      <c r="C80" s="864"/>
      <c r="D80" s="864"/>
      <c r="E80" s="864"/>
      <c r="F80" s="864"/>
      <c r="G80" s="864"/>
      <c r="H80" s="864"/>
      <c r="I80" s="864"/>
      <c r="J80" s="864"/>
      <c r="K80" s="864"/>
      <c r="L80" s="865"/>
      <c r="M80" s="2"/>
    </row>
    <row r="81" spans="1:12" s="2" customFormat="1" x14ac:dyDescent="0.25">
      <c r="A81" s="12"/>
      <c r="B81" s="473"/>
      <c r="C81" s="864"/>
      <c r="D81" s="864"/>
      <c r="E81" s="864"/>
      <c r="F81" s="864"/>
      <c r="G81" s="864"/>
      <c r="H81" s="864"/>
      <c r="I81" s="864"/>
      <c r="J81" s="864"/>
      <c r="K81" s="864"/>
      <c r="L81" s="865"/>
    </row>
    <row r="82" spans="1:12" s="2" customFormat="1" x14ac:dyDescent="0.25">
      <c r="A82" s="12"/>
      <c r="B82" s="478" t="str">
        <f>B62</f>
        <v>Pays d'origine (P)</v>
      </c>
      <c r="C82" s="874" t="str">
        <f>IF('Pro 4'!C231="","-",'Pro 4'!C231)</f>
        <v>-</v>
      </c>
      <c r="D82" s="874"/>
      <c r="E82" s="874" t="str">
        <f>IF('Pro 4'!E231="","-",'Pro 4'!E231)</f>
        <v>-</v>
      </c>
      <c r="F82" s="874"/>
      <c r="G82" s="874" t="str">
        <f>IF('Pro 4'!G231="","-",'Pro 4'!G231)</f>
        <v>-</v>
      </c>
      <c r="H82" s="874"/>
      <c r="I82" s="874" t="str">
        <f>IF('Pro 4'!I231="","-",'Pro 4'!I231)</f>
        <v>-</v>
      </c>
      <c r="J82" s="874"/>
      <c r="K82" s="874" t="str">
        <f>IF('Pro 4'!K231="","-",'Pro 4'!K231)</f>
        <v>-</v>
      </c>
      <c r="L82" s="875"/>
    </row>
    <row r="83" spans="1:12" s="2" customFormat="1" x14ac:dyDescent="0.25">
      <c r="A83" s="12"/>
      <c r="B83" s="482"/>
      <c r="C83" s="876"/>
      <c r="D83" s="876"/>
      <c r="E83" s="876"/>
      <c r="F83" s="876"/>
      <c r="G83" s="876"/>
      <c r="H83" s="876"/>
      <c r="I83" s="876"/>
      <c r="J83" s="876"/>
      <c r="K83" s="876"/>
      <c r="L83" s="877"/>
    </row>
    <row r="84" spans="1:12" s="2" customFormat="1" x14ac:dyDescent="0.25">
      <c r="A84" s="12"/>
      <c r="B84" s="176"/>
      <c r="C84" s="177"/>
      <c r="D84" s="177"/>
      <c r="E84" s="177"/>
      <c r="F84" s="177"/>
      <c r="G84" s="177"/>
      <c r="H84" s="177"/>
      <c r="I84" s="177"/>
      <c r="J84" s="177"/>
      <c r="K84" s="177"/>
      <c r="L84" s="178"/>
    </row>
  </sheetData>
  <sheetProtection algorithmName="SHA-512" hashValue="SQdKKq3pOAjIbKw5ydqWONLsunJdiqk4e0CIXlNiOFzhIq32yhgI6KnCFekRccb/0G9oRkWtAQ0ZMi+f6Fg4Ng==" saltValue="t+OyV2LsNbqNYkUumdC3nA==" spinCount="100000" sheet="1" objects="1" scenarios="1" selectLockedCells="1"/>
  <mergeCells count="100">
    <mergeCell ref="K78:L81"/>
    <mergeCell ref="B75:B76"/>
    <mergeCell ref="C75:D76"/>
    <mergeCell ref="E75:F76"/>
    <mergeCell ref="G75:H76"/>
    <mergeCell ref="I75:J76"/>
    <mergeCell ref="G62:H63"/>
    <mergeCell ref="I62:J63"/>
    <mergeCell ref="B70:L70"/>
    <mergeCell ref="B82:B83"/>
    <mergeCell ref="C82:D83"/>
    <mergeCell ref="E82:F83"/>
    <mergeCell ref="G82:H83"/>
    <mergeCell ref="I82:J83"/>
    <mergeCell ref="K82:L83"/>
    <mergeCell ref="K75:L76"/>
    <mergeCell ref="B77:L77"/>
    <mergeCell ref="B78:B81"/>
    <mergeCell ref="C78:D81"/>
    <mergeCell ref="E78:F81"/>
    <mergeCell ref="G78:H81"/>
    <mergeCell ref="I78:J81"/>
    <mergeCell ref="B57:L57"/>
    <mergeCell ref="B71:B74"/>
    <mergeCell ref="C71:D74"/>
    <mergeCell ref="E71:F74"/>
    <mergeCell ref="G71:H74"/>
    <mergeCell ref="I71:J74"/>
    <mergeCell ref="K71:L74"/>
    <mergeCell ref="B66:L66"/>
    <mergeCell ref="B67:B69"/>
    <mergeCell ref="C67:D69"/>
    <mergeCell ref="E67:F69"/>
    <mergeCell ref="G67:H69"/>
    <mergeCell ref="K62:L63"/>
    <mergeCell ref="B62:B63"/>
    <mergeCell ref="C62:D63"/>
    <mergeCell ref="E62:F63"/>
    <mergeCell ref="B4:L4"/>
    <mergeCell ref="B5:L5"/>
    <mergeCell ref="B6:L6"/>
    <mergeCell ref="B36:D36"/>
    <mergeCell ref="B37:D37"/>
    <mergeCell ref="B8:L8"/>
    <mergeCell ref="B9:L9"/>
    <mergeCell ref="B12:I12"/>
    <mergeCell ref="B13:I13"/>
    <mergeCell ref="B14:I14"/>
    <mergeCell ref="B15:I15"/>
    <mergeCell ref="B28:L28"/>
    <mergeCell ref="B17:L17"/>
    <mergeCell ref="B19:L26"/>
    <mergeCell ref="I33:I34"/>
    <mergeCell ref="B30:L31"/>
    <mergeCell ref="B50:L50"/>
    <mergeCell ref="I51:J54"/>
    <mergeCell ref="K51:L54"/>
    <mergeCell ref="B55:B56"/>
    <mergeCell ref="C55:D56"/>
    <mergeCell ref="E55:F56"/>
    <mergeCell ref="G55:H56"/>
    <mergeCell ref="I55:J56"/>
    <mergeCell ref="K55:L56"/>
    <mergeCell ref="C51:D54"/>
    <mergeCell ref="I67:J69"/>
    <mergeCell ref="K67:L69"/>
    <mergeCell ref="E51:F54"/>
    <mergeCell ref="B51:B54"/>
    <mergeCell ref="B58:B61"/>
    <mergeCell ref="G51:H54"/>
    <mergeCell ref="C58:D61"/>
    <mergeCell ref="E58:F61"/>
    <mergeCell ref="K65:L65"/>
    <mergeCell ref="G58:H61"/>
    <mergeCell ref="I58:J61"/>
    <mergeCell ref="C65:D65"/>
    <mergeCell ref="E65:F65"/>
    <mergeCell ref="G65:H65"/>
    <mergeCell ref="I65:J65"/>
    <mergeCell ref="K58:L61"/>
    <mergeCell ref="B40:L40"/>
    <mergeCell ref="B38:D38"/>
    <mergeCell ref="B42:L43"/>
    <mergeCell ref="B35:D35"/>
    <mergeCell ref="E33:E34"/>
    <mergeCell ref="F33:F34"/>
    <mergeCell ref="G33:G34"/>
    <mergeCell ref="H33:H34"/>
    <mergeCell ref="K47:L49"/>
    <mergeCell ref="B46:L46"/>
    <mergeCell ref="E45:F45"/>
    <mergeCell ref="G45:H45"/>
    <mergeCell ref="I45:J45"/>
    <mergeCell ref="K45:L45"/>
    <mergeCell ref="C45:D45"/>
    <mergeCell ref="B47:B49"/>
    <mergeCell ref="C47:D49"/>
    <mergeCell ref="E47:F49"/>
    <mergeCell ref="G47:H49"/>
    <mergeCell ref="I47:J4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527A223-705C-4CA3-9AA8-32D0E9876FC0}">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AA1FA08-A491-4466-90D1-7E211E3418E9}">
          <x14:formula1>
            <xm:f>Variables!$D$54:$D$55</xm:f>
          </x14:formula1>
          <xm:sqref>J12:J15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9C26-7816-4156-B8B2-F47C39D759D7}">
  <sheetPr>
    <tabColor rgb="FFFFC000"/>
  </sheetPr>
  <dimension ref="A1:V82"/>
  <sheetViews>
    <sheetView zoomScale="80" zoomScaleNormal="80" workbookViewId="0">
      <selection sqref="A1:XFD1048576"/>
    </sheetView>
  </sheetViews>
  <sheetFormatPr defaultColWidth="9.140625" defaultRowHeight="12.75" x14ac:dyDescent="0.2"/>
  <cols>
    <col min="1" max="1" width="6" style="319" bestFit="1" customWidth="1"/>
    <col min="2" max="2" width="12.85546875" style="42" bestFit="1" customWidth="1"/>
    <col min="3" max="3" width="35.5703125" style="42" bestFit="1" customWidth="1"/>
    <col min="4" max="8" width="14.7109375" style="42" customWidth="1"/>
    <col min="9" max="10" width="16.5703125" style="42" customWidth="1"/>
    <col min="11" max="11" width="22" style="42" customWidth="1"/>
    <col min="12" max="12" width="16.5703125" style="42" customWidth="1"/>
    <col min="13" max="17" width="15" style="42" customWidth="1"/>
    <col min="18" max="19" width="14.7109375" style="42" customWidth="1"/>
    <col min="20" max="21" width="15.42578125" style="42" customWidth="1"/>
    <col min="22" max="22" width="14.85546875" style="42" customWidth="1"/>
    <col min="23" max="24" width="14.5703125" style="42" customWidth="1"/>
    <col min="25" max="25" width="25" style="42" customWidth="1"/>
    <col min="26" max="27" width="12.85546875" style="42" customWidth="1"/>
    <col min="28" max="29" width="14.5703125" style="42" customWidth="1"/>
    <col min="30" max="16384" width="9.140625" style="42"/>
  </cols>
  <sheetData>
    <row r="1" spans="1:19" ht="13.5" thickBot="1" x14ac:dyDescent="0.25">
      <c r="C1" s="320" t="s">
        <v>478</v>
      </c>
      <c r="D1" s="321" t="s">
        <v>1021</v>
      </c>
    </row>
    <row r="2" spans="1:19" ht="13.5" thickBot="1" x14ac:dyDescent="0.25">
      <c r="C2" s="322">
        <f>Intro!E78</f>
        <v>0</v>
      </c>
      <c r="D2" s="323">
        <f>Intro!J124</f>
        <v>0</v>
      </c>
      <c r="E2" s="324" t="str">
        <f>IF(D2=0, "Please Provide Signature","Good")</f>
        <v>Please Provide Signature</v>
      </c>
    </row>
    <row r="3" spans="1:19" ht="13.5" thickBot="1" x14ac:dyDescent="0.25">
      <c r="C3" s="319"/>
      <c r="D3" s="319"/>
      <c r="E3" s="319"/>
      <c r="F3" s="319"/>
      <c r="G3" s="319"/>
      <c r="H3" s="319"/>
      <c r="I3" s="319"/>
      <c r="J3" s="319"/>
      <c r="K3" s="319"/>
      <c r="L3" s="319"/>
      <c r="M3" s="319"/>
      <c r="N3" s="319"/>
      <c r="O3" s="319"/>
      <c r="P3" s="319"/>
      <c r="Q3" s="325"/>
      <c r="R3" s="325"/>
      <c r="S3" s="325"/>
    </row>
    <row r="4" spans="1:19" x14ac:dyDescent="0.2">
      <c r="B4" s="326"/>
      <c r="C4" s="327" t="s">
        <v>925</v>
      </c>
      <c r="D4" s="43"/>
      <c r="E4" s="43"/>
      <c r="F4" s="43"/>
      <c r="G4" s="43"/>
      <c r="H4" s="328"/>
      <c r="K4" s="327" t="s">
        <v>925</v>
      </c>
      <c r="L4" s="329"/>
      <c r="M4" s="43"/>
      <c r="N4" s="43"/>
      <c r="O4" s="43"/>
      <c r="P4" s="328"/>
    </row>
    <row r="5" spans="1:19" x14ac:dyDescent="0.2">
      <c r="C5" s="330"/>
      <c r="D5" s="879" t="s">
        <v>926</v>
      </c>
      <c r="E5" s="879"/>
      <c r="F5" s="879"/>
      <c r="G5" s="331"/>
      <c r="H5" s="332"/>
      <c r="K5" s="333"/>
      <c r="L5" s="331" t="s">
        <v>926</v>
      </c>
      <c r="M5" s="331"/>
      <c r="N5" s="331"/>
      <c r="O5" s="331"/>
      <c r="P5" s="332"/>
    </row>
    <row r="6" spans="1:19" ht="33" customHeight="1" thickBot="1" x14ac:dyDescent="0.25">
      <c r="C6" s="330" t="s">
        <v>927</v>
      </c>
      <c r="D6" s="334">
        <f>'Pro 1'!G19</f>
        <v>2023</v>
      </c>
      <c r="E6" s="334">
        <f>'Pro 1'!H19</f>
        <v>2024</v>
      </c>
      <c r="F6" s="334">
        <f>'Pro 1'!I19</f>
        <v>2025</v>
      </c>
      <c r="G6" s="334" t="str">
        <f>'Pro 1'!J19</f>
        <v>janv- mars 2025</v>
      </c>
      <c r="H6" s="335" t="str">
        <f>'Pro 1'!K19</f>
        <v>janv- mars 2026</v>
      </c>
      <c r="J6" s="336"/>
      <c r="K6" s="330" t="s">
        <v>928</v>
      </c>
      <c r="L6" s="334">
        <f>D6</f>
        <v>2023</v>
      </c>
      <c r="M6" s="334">
        <f>E6</f>
        <v>2024</v>
      </c>
      <c r="N6" s="334">
        <f>F6</f>
        <v>2025</v>
      </c>
      <c r="O6" s="334" t="str">
        <f>G6</f>
        <v>janv- mars 2025</v>
      </c>
      <c r="P6" s="335" t="str">
        <f>H6</f>
        <v>janv- mars 2026</v>
      </c>
    </row>
    <row r="7" spans="1:19" x14ac:dyDescent="0.2">
      <c r="A7" s="882" t="s">
        <v>1022</v>
      </c>
      <c r="C7" s="333" t="s">
        <v>544</v>
      </c>
      <c r="D7" s="337">
        <f>'Pro 1'!G21</f>
        <v>0</v>
      </c>
      <c r="E7" s="337">
        <f>'Pro 1'!H21</f>
        <v>0</v>
      </c>
      <c r="F7" s="337">
        <f>'Pro 1'!I21</f>
        <v>0</v>
      </c>
      <c r="G7" s="337">
        <f>'Pro 1'!J21</f>
        <v>0</v>
      </c>
      <c r="H7" s="338">
        <f>'Pro 1'!K21</f>
        <v>0</v>
      </c>
      <c r="I7" s="339">
        <f>SUM('Pro 1'!G21:K21)+SUM('Pro 3'!G24:K24)+SUM('Pro 3'!G29:K32)</f>
        <v>0</v>
      </c>
      <c r="J7" s="882" t="s">
        <v>1022</v>
      </c>
      <c r="K7" s="333" t="str">
        <f>C7</f>
        <v>Volume</v>
      </c>
      <c r="L7" s="337">
        <f>'Pro 1'!G22</f>
        <v>0</v>
      </c>
      <c r="M7" s="337">
        <f>'Pro 1'!H22</f>
        <v>0</v>
      </c>
      <c r="N7" s="337">
        <f>'Pro 1'!I22</f>
        <v>0</v>
      </c>
      <c r="O7" s="337">
        <f>'Pro 1'!J22</f>
        <v>0</v>
      </c>
      <c r="P7" s="338">
        <f>'Pro 1'!K22</f>
        <v>0</v>
      </c>
      <c r="Q7" s="340">
        <f>SUM('Pro 1'!G22:L22)+SUM('Pro 3'!G49:L49)+SUM('Pro 3'!G54:L57)</f>
        <v>0</v>
      </c>
    </row>
    <row r="8" spans="1:19" ht="13.5" thickBot="1" x14ac:dyDescent="0.25">
      <c r="A8" s="882"/>
      <c r="C8" s="333"/>
      <c r="D8" s="337"/>
      <c r="E8" s="337"/>
      <c r="F8" s="337"/>
      <c r="G8" s="337"/>
      <c r="H8" s="338"/>
      <c r="I8" s="341" cm="1">
        <f t="array" ref="I8">SUM(D7:H7)+SUM((D10:H14)*1000)</f>
        <v>0</v>
      </c>
      <c r="J8" s="882"/>
      <c r="K8" s="333"/>
      <c r="L8" s="337"/>
      <c r="M8" s="337"/>
      <c r="N8" s="337"/>
      <c r="O8" s="337"/>
      <c r="P8" s="338"/>
      <c r="Q8" s="342" cm="1">
        <f t="array" ref="Q8">SUM(L7:P7)+SUM((L10:P14)*1000)</f>
        <v>0</v>
      </c>
    </row>
    <row r="9" spans="1:19" ht="13.5" thickBot="1" x14ac:dyDescent="0.25">
      <c r="A9" s="882"/>
      <c r="C9" s="333"/>
      <c r="D9" s="337"/>
      <c r="E9" s="337"/>
      <c r="F9" s="337"/>
      <c r="G9" s="337"/>
      <c r="H9" s="338"/>
      <c r="I9" s="343" t="b">
        <f>I7=I8</f>
        <v>1</v>
      </c>
      <c r="J9" s="882"/>
      <c r="K9" s="333"/>
      <c r="L9" s="337"/>
      <c r="M9" s="337"/>
      <c r="N9" s="337"/>
      <c r="O9" s="337"/>
      <c r="P9" s="338"/>
      <c r="Q9" s="344" t="b">
        <f>Q7=Q8</f>
        <v>1</v>
      </c>
    </row>
    <row r="10" spans="1:19" x14ac:dyDescent="0.2">
      <c r="A10" s="882"/>
      <c r="B10" s="42" t="s">
        <v>929</v>
      </c>
      <c r="C10" s="333" t="s">
        <v>164</v>
      </c>
      <c r="D10" s="337">
        <f>'Pro 3'!G24/1000</f>
        <v>0</v>
      </c>
      <c r="E10" s="337">
        <f>'Pro 3'!H24/1000</f>
        <v>0</v>
      </c>
      <c r="F10" s="337">
        <f>'Pro 3'!I24/1000</f>
        <v>0</v>
      </c>
      <c r="G10" s="337">
        <f>'Pro 3'!J24/1000</f>
        <v>0</v>
      </c>
      <c r="H10" s="338">
        <f>'Pro 3'!K24/1000</f>
        <v>0</v>
      </c>
      <c r="J10" s="882"/>
      <c r="K10" s="333" t="str">
        <f>C10</f>
        <v>Beginning inventory</v>
      </c>
      <c r="L10" s="337">
        <f>'Pro 3'!G49/1000</f>
        <v>0</v>
      </c>
      <c r="M10" s="337">
        <f>'Pro 3'!H49/1000</f>
        <v>0</v>
      </c>
      <c r="N10" s="337">
        <f>'Pro 3'!I49/1000</f>
        <v>0</v>
      </c>
      <c r="O10" s="337">
        <f>'Pro 3'!J49/1000</f>
        <v>0</v>
      </c>
      <c r="P10" s="338">
        <f>'Pro 3'!K49/1000</f>
        <v>0</v>
      </c>
    </row>
    <row r="11" spans="1:19" x14ac:dyDescent="0.2">
      <c r="A11" s="882"/>
      <c r="B11" s="42" t="s">
        <v>929</v>
      </c>
      <c r="C11" s="333" t="s">
        <v>444</v>
      </c>
      <c r="D11" s="337">
        <f>SUM('Pro 3'!G25:'Pro 3'!G28)/1000</f>
        <v>0</v>
      </c>
      <c r="E11" s="337">
        <f>SUM('Pro 3'!H25:'Pro 3'!H28)/1000</f>
        <v>0</v>
      </c>
      <c r="F11" s="337">
        <f>SUM('Pro 3'!I25:'Pro 3'!I28)/1000</f>
        <v>0</v>
      </c>
      <c r="G11" s="337">
        <f>SUM('Pro 3'!J25:'Pro 3'!J28)/1000</f>
        <v>0</v>
      </c>
      <c r="H11" s="338">
        <f>SUM('Pro 3'!K25:'Pro 3'!K28)/1000</f>
        <v>0</v>
      </c>
      <c r="J11" s="882"/>
      <c r="K11" s="333" t="str">
        <f>C11</f>
        <v xml:space="preserve">Direct materials used </v>
      </c>
      <c r="L11" s="337">
        <f>SUM('Pro 3'!G50:G53)/1000</f>
        <v>0</v>
      </c>
      <c r="M11" s="337">
        <f>SUM('Pro 3'!H50:H53)/1000</f>
        <v>0</v>
      </c>
      <c r="N11" s="337">
        <f>SUM('Pro 3'!I50:I53)/1000</f>
        <v>0</v>
      </c>
      <c r="O11" s="337">
        <f>SUM('Pro 3'!J50:J53)/1000</f>
        <v>0</v>
      </c>
      <c r="P11" s="338">
        <f>SUM('Pro 3'!K50:K53)/1000</f>
        <v>0</v>
      </c>
    </row>
    <row r="12" spans="1:19" x14ac:dyDescent="0.2">
      <c r="A12" s="882"/>
      <c r="B12" s="42" t="s">
        <v>929</v>
      </c>
      <c r="C12" s="333" t="s">
        <v>930</v>
      </c>
      <c r="D12" s="337">
        <f>SUM('Pro 3'!G30)/1000</f>
        <v>0</v>
      </c>
      <c r="E12" s="337">
        <f>SUM('Pro 3'!H30)/1000</f>
        <v>0</v>
      </c>
      <c r="F12" s="337">
        <f>SUM('Pro 3'!I30)/1000</f>
        <v>0</v>
      </c>
      <c r="G12" s="337">
        <f>SUM('Pro 3'!J30)/1000</f>
        <v>0</v>
      </c>
      <c r="H12" s="338">
        <f>SUM('Pro 3'!K30)/1000</f>
        <v>0</v>
      </c>
      <c r="J12" s="882"/>
      <c r="K12" s="333" t="str">
        <f>C12</f>
        <v>Direct labour wages paid</v>
      </c>
      <c r="L12" s="337">
        <f>'Pro 3'!G55/1000</f>
        <v>0</v>
      </c>
      <c r="M12" s="337">
        <f>'Pro 3'!H55/1000</f>
        <v>0</v>
      </c>
      <c r="N12" s="337">
        <f>'Pro 3'!I55/1000</f>
        <v>0</v>
      </c>
      <c r="O12" s="337">
        <f>'Pro 3'!J55/1000</f>
        <v>0</v>
      </c>
      <c r="P12" s="338">
        <f>'Pro 3'!K55/1000</f>
        <v>0</v>
      </c>
    </row>
    <row r="13" spans="1:19" x14ac:dyDescent="0.2">
      <c r="A13" s="882"/>
      <c r="B13" s="42" t="s">
        <v>929</v>
      </c>
      <c r="C13" s="333" t="s">
        <v>422</v>
      </c>
      <c r="D13" s="337">
        <f>SUM('Pro 3'!G31)/1000</f>
        <v>0</v>
      </c>
      <c r="E13" s="337">
        <f>SUM('Pro 3'!H31)/1000</f>
        <v>0</v>
      </c>
      <c r="F13" s="337">
        <f>SUM('Pro 3'!I31)/1000</f>
        <v>0</v>
      </c>
      <c r="G13" s="337">
        <f>SUM('Pro 3'!J31)/1000</f>
        <v>0</v>
      </c>
      <c r="H13" s="338">
        <f>SUM('Pro 3'!K31)/1000</f>
        <v>0</v>
      </c>
      <c r="J13" s="882"/>
      <c r="K13" s="333" t="str">
        <f>C13</f>
        <v xml:space="preserve">Factory overhead </v>
      </c>
      <c r="L13" s="337">
        <f>'Pro 3'!G56/1000</f>
        <v>0</v>
      </c>
      <c r="M13" s="337">
        <f>'Pro 3'!H56/1000</f>
        <v>0</v>
      </c>
      <c r="N13" s="337">
        <f>'Pro 3'!I56/1000</f>
        <v>0</v>
      </c>
      <c r="O13" s="337">
        <f>'Pro 3'!J56/1000</f>
        <v>0</v>
      </c>
      <c r="P13" s="338">
        <f>'Pro 3'!K56/1000</f>
        <v>0</v>
      </c>
    </row>
    <row r="14" spans="1:19" x14ac:dyDescent="0.2">
      <c r="A14" s="882"/>
      <c r="B14" s="42" t="s">
        <v>929</v>
      </c>
      <c r="C14" s="333" t="s">
        <v>447</v>
      </c>
      <c r="D14" s="337">
        <f>SUM('Pro 3'!G32)/1000</f>
        <v>0</v>
      </c>
      <c r="E14" s="337">
        <f>SUM('Pro 3'!H32)/1000</f>
        <v>0</v>
      </c>
      <c r="F14" s="337">
        <f>SUM('Pro 3'!I32)/1000</f>
        <v>0</v>
      </c>
      <c r="G14" s="337">
        <f>SUM('Pro 3'!J32)/1000</f>
        <v>0</v>
      </c>
      <c r="H14" s="338">
        <f>SUM('Pro 3'!K32)/1000</f>
        <v>0</v>
      </c>
      <c r="J14" s="882"/>
      <c r="K14" s="333" t="str">
        <f>C14</f>
        <v>Less: ending inventory</v>
      </c>
      <c r="L14" s="337">
        <f>'Pro 3'!G57/1000</f>
        <v>0</v>
      </c>
      <c r="M14" s="337">
        <f>'Pro 3'!H57/1000</f>
        <v>0</v>
      </c>
      <c r="N14" s="337">
        <f>'Pro 3'!I57/1000</f>
        <v>0</v>
      </c>
      <c r="O14" s="337">
        <f>'Pro 3'!J57/1000</f>
        <v>0</v>
      </c>
      <c r="P14" s="338">
        <f>'Pro 3'!K57/1000</f>
        <v>0</v>
      </c>
    </row>
    <row r="15" spans="1:19" ht="13.5" thickBot="1" x14ac:dyDescent="0.25">
      <c r="A15" s="345" t="s">
        <v>1023</v>
      </c>
      <c r="C15" s="333"/>
      <c r="D15" s="337"/>
      <c r="E15" s="337"/>
      <c r="F15" s="337"/>
      <c r="G15" s="337"/>
      <c r="H15" s="338"/>
      <c r="J15" s="346"/>
      <c r="K15" s="333"/>
      <c r="L15" s="337"/>
      <c r="M15" s="337"/>
      <c r="N15" s="337"/>
      <c r="O15" s="337"/>
      <c r="P15" s="338"/>
    </row>
    <row r="16" spans="1:19" x14ac:dyDescent="0.2">
      <c r="A16" s="882" t="s">
        <v>1022</v>
      </c>
      <c r="C16" s="333" t="s">
        <v>931</v>
      </c>
      <c r="D16" s="337">
        <f>SUM('Pro 2'!G28,'Pro 2'!G31)</f>
        <v>0</v>
      </c>
      <c r="E16" s="337">
        <f>SUM('Pro 2'!H28,'Pro 2'!H31)</f>
        <v>0</v>
      </c>
      <c r="F16" s="337">
        <f>SUM('Pro 2'!I28,'Pro 2'!I31)</f>
        <v>0</v>
      </c>
      <c r="G16" s="337">
        <f>SUM('Pro 2'!J28,'Pro 2'!J31)</f>
        <v>0</v>
      </c>
      <c r="H16" s="338">
        <f>SUM('Pro 2'!K28,'Pro 2'!K31)</f>
        <v>0</v>
      </c>
      <c r="I16" s="339">
        <f>SUM('Pro 2'!G28:L28,'Pro 2'!G31:L31)+SUM('Pro 3'!G187:L188,'Pro 3'!G190:L190,'Pro 3'!G193:L195)</f>
        <v>0</v>
      </c>
      <c r="J16" s="882" t="s">
        <v>1022</v>
      </c>
      <c r="K16" s="333" t="str">
        <f>C16</f>
        <v>Net Sales Volume</v>
      </c>
      <c r="L16" s="337">
        <f>'Pro 2'!G37</f>
        <v>0</v>
      </c>
      <c r="M16" s="337">
        <f>'Pro 2'!H37</f>
        <v>0</v>
      </c>
      <c r="N16" s="337">
        <f>'Pro 2'!I37</f>
        <v>0</v>
      </c>
      <c r="O16" s="337">
        <f>'Pro 2'!J37</f>
        <v>0</v>
      </c>
      <c r="P16" s="338">
        <f>'Pro 2'!K37</f>
        <v>0</v>
      </c>
      <c r="Q16" s="340">
        <f>SUM('Pro 2'!G37:L37)+SUM('Pro 3'!G221:L222,'Pro 3'!G224:L224,'Pro 3'!G227:L229)</f>
        <v>0</v>
      </c>
    </row>
    <row r="17" spans="1:17" ht="13.5" thickBot="1" x14ac:dyDescent="0.25">
      <c r="A17" s="882"/>
      <c r="C17" s="333"/>
      <c r="D17" s="337"/>
      <c r="E17" s="337"/>
      <c r="F17" s="337"/>
      <c r="G17" s="337"/>
      <c r="H17" s="338"/>
      <c r="I17" s="341">
        <f>SUM(D16:H16)+SUM(D19:H27)*1000</f>
        <v>0</v>
      </c>
      <c r="J17" s="882"/>
      <c r="K17" s="333"/>
      <c r="L17" s="337"/>
      <c r="M17" s="337"/>
      <c r="N17" s="337"/>
      <c r="O17" s="337"/>
      <c r="P17" s="338"/>
      <c r="Q17" s="342">
        <f>SUM(L16:P16)+SUM(L19:P27)*1000</f>
        <v>0</v>
      </c>
    </row>
    <row r="18" spans="1:17" ht="13.5" thickBot="1" x14ac:dyDescent="0.25">
      <c r="A18" s="882"/>
      <c r="C18" s="333"/>
      <c r="D18" s="337"/>
      <c r="E18" s="337"/>
      <c r="F18" s="337"/>
      <c r="G18" s="337"/>
      <c r="H18" s="338"/>
      <c r="I18" s="343" t="b">
        <f>I16=I17</f>
        <v>1</v>
      </c>
      <c r="J18" s="882"/>
      <c r="K18" s="333"/>
      <c r="L18" s="337"/>
      <c r="M18" s="337"/>
      <c r="N18" s="337"/>
      <c r="O18" s="337"/>
      <c r="P18" s="338"/>
      <c r="Q18" s="344" t="b">
        <f>Q16=Q17</f>
        <v>1</v>
      </c>
    </row>
    <row r="19" spans="1:17" x14ac:dyDescent="0.2">
      <c r="A19" s="882"/>
      <c r="B19" s="42" t="s">
        <v>929</v>
      </c>
      <c r="C19" s="333" t="s">
        <v>70</v>
      </c>
      <c r="D19" s="337">
        <f>'Pro 3'!G187/1000</f>
        <v>0</v>
      </c>
      <c r="E19" s="337">
        <f>'Pro 3'!H187/1000</f>
        <v>0</v>
      </c>
      <c r="F19" s="337">
        <f>'Pro 3'!I187/1000</f>
        <v>0</v>
      </c>
      <c r="G19" s="337">
        <f>'Pro 3'!J187/1000</f>
        <v>0</v>
      </c>
      <c r="H19" s="338">
        <f>'Pro 3'!K187/1000</f>
        <v>0</v>
      </c>
      <c r="J19" s="882"/>
      <c r="K19" s="333" t="str">
        <f>C19</f>
        <v>Net Sales Value</v>
      </c>
      <c r="L19" s="337">
        <f>'Pro 3'!G221/1000</f>
        <v>0</v>
      </c>
      <c r="M19" s="337">
        <f>'Pro 3'!H221/1000</f>
        <v>0</v>
      </c>
      <c r="N19" s="337">
        <f>'Pro 3'!I221/1000</f>
        <v>0</v>
      </c>
      <c r="O19" s="337">
        <f>'Pro 3'!J221/1000</f>
        <v>0</v>
      </c>
      <c r="P19" s="338">
        <f>'Pro 3'!K221/1000</f>
        <v>0</v>
      </c>
    </row>
    <row r="20" spans="1:17" x14ac:dyDescent="0.2">
      <c r="A20" s="882"/>
      <c r="B20" s="42" t="s">
        <v>929</v>
      </c>
      <c r="C20" s="333" t="s">
        <v>72</v>
      </c>
      <c r="D20" s="337">
        <f>'Pro 3'!G188/1000</f>
        <v>0</v>
      </c>
      <c r="E20" s="337">
        <f>'Pro 3'!H188/1000</f>
        <v>0</v>
      </c>
      <c r="F20" s="337">
        <f>'Pro 3'!I188/1000</f>
        <v>0</v>
      </c>
      <c r="G20" s="337">
        <f>'Pro 3'!J188/1000</f>
        <v>0</v>
      </c>
      <c r="H20" s="338">
        <f>'Pro 3'!K188/1000</f>
        <v>0</v>
      </c>
      <c r="J20" s="882"/>
      <c r="K20" s="333" t="str">
        <f>C20</f>
        <v>Beginning Inventory</v>
      </c>
      <c r="L20" s="337">
        <f>'Pro 3'!G222/1000</f>
        <v>0</v>
      </c>
      <c r="M20" s="337">
        <f>'Pro 3'!H222/1000</f>
        <v>0</v>
      </c>
      <c r="N20" s="337">
        <f>'Pro 3'!I222/1000</f>
        <v>0</v>
      </c>
      <c r="O20" s="337">
        <f>'Pro 3'!J222/1000</f>
        <v>0</v>
      </c>
      <c r="P20" s="338">
        <f>'Pro 3'!K222/1000</f>
        <v>0</v>
      </c>
    </row>
    <row r="21" spans="1:17" x14ac:dyDescent="0.2">
      <c r="A21" s="347" t="s">
        <v>1024</v>
      </c>
      <c r="C21" s="333"/>
      <c r="D21" s="337"/>
      <c r="E21" s="337"/>
      <c r="F21" s="337"/>
      <c r="G21" s="337"/>
      <c r="H21" s="338"/>
      <c r="J21" s="347"/>
      <c r="K21" s="333"/>
      <c r="L21" s="337"/>
      <c r="M21" s="337"/>
      <c r="N21" s="337"/>
      <c r="O21" s="337"/>
      <c r="P21" s="338"/>
    </row>
    <row r="22" spans="1:17" x14ac:dyDescent="0.2">
      <c r="A22" s="348" t="s">
        <v>1022</v>
      </c>
      <c r="B22" s="42" t="s">
        <v>929</v>
      </c>
      <c r="C22" s="333" t="s">
        <v>932</v>
      </c>
      <c r="D22" s="337">
        <f>'Pro 3'!G190/1000</f>
        <v>0</v>
      </c>
      <c r="E22" s="337">
        <f>'Pro 3'!H190/1000</f>
        <v>0</v>
      </c>
      <c r="F22" s="337">
        <f>'Pro 3'!I190/1000</f>
        <v>0</v>
      </c>
      <c r="G22" s="337">
        <f>'Pro 3'!J190/1000</f>
        <v>0</v>
      </c>
      <c r="H22" s="338">
        <f>'Pro 3'!K190/1000</f>
        <v>0</v>
      </c>
      <c r="J22" s="348" t="s">
        <v>1022</v>
      </c>
      <c r="K22" s="333" t="str">
        <f>C22</f>
        <v>Ending Inventory</v>
      </c>
      <c r="L22" s="337">
        <f>'Pro 3'!G224/1000</f>
        <v>0</v>
      </c>
      <c r="M22" s="337">
        <f>'Pro 3'!H224/1000</f>
        <v>0</v>
      </c>
      <c r="N22" s="337">
        <f>'Pro 3'!I224/1000</f>
        <v>0</v>
      </c>
      <c r="O22" s="337">
        <f>'Pro 3'!J224/1000</f>
        <v>0</v>
      </c>
      <c r="P22" s="338">
        <f>'Pro 3'!K224/1000</f>
        <v>0</v>
      </c>
    </row>
    <row r="23" spans="1:17" x14ac:dyDescent="0.2">
      <c r="A23" s="885" t="s">
        <v>1024</v>
      </c>
      <c r="C23" s="333"/>
      <c r="D23" s="337"/>
      <c r="E23" s="337"/>
      <c r="F23" s="337"/>
      <c r="G23" s="337"/>
      <c r="H23" s="338"/>
      <c r="J23" s="347"/>
      <c r="K23" s="333"/>
      <c r="L23" s="337"/>
      <c r="M23" s="337"/>
      <c r="N23" s="337"/>
      <c r="O23" s="337"/>
      <c r="P23" s="338"/>
    </row>
    <row r="24" spans="1:17" x14ac:dyDescent="0.2">
      <c r="A24" s="885"/>
      <c r="C24" s="333"/>
      <c r="D24" s="337"/>
      <c r="E24" s="337"/>
      <c r="F24" s="337"/>
      <c r="G24" s="337"/>
      <c r="H24" s="338"/>
      <c r="J24" s="346"/>
      <c r="K24" s="333"/>
      <c r="L24" s="337"/>
      <c r="M24" s="337"/>
      <c r="N24" s="337"/>
      <c r="O24" s="337"/>
      <c r="P24" s="338"/>
    </row>
    <row r="25" spans="1:17" x14ac:dyDescent="0.2">
      <c r="A25" s="882" t="s">
        <v>1022</v>
      </c>
      <c r="B25" s="42" t="s">
        <v>929</v>
      </c>
      <c r="C25" s="333" t="s">
        <v>933</v>
      </c>
      <c r="D25" s="337">
        <f>'Pro 3'!G193/1000</f>
        <v>0</v>
      </c>
      <c r="E25" s="337">
        <f>'Pro 3'!H193/1000</f>
        <v>0</v>
      </c>
      <c r="F25" s="337">
        <f>'Pro 3'!I193/1000</f>
        <v>0</v>
      </c>
      <c r="G25" s="337">
        <f>'Pro 3'!J193/1000</f>
        <v>0</v>
      </c>
      <c r="H25" s="338">
        <f>'Pro 3'!K193/1000</f>
        <v>0</v>
      </c>
      <c r="J25" s="882" t="s">
        <v>1022</v>
      </c>
      <c r="K25" s="333" t="str">
        <f>C25</f>
        <v>GSA Expenses</v>
      </c>
      <c r="L25" s="337">
        <f>'Pro 3'!G227/1000</f>
        <v>0</v>
      </c>
      <c r="M25" s="337">
        <f>'Pro 3'!H227/1000</f>
        <v>0</v>
      </c>
      <c r="N25" s="337">
        <f>'Pro 3'!I227/1000</f>
        <v>0</v>
      </c>
      <c r="O25" s="337">
        <f>'Pro 3'!J227/1000</f>
        <v>0</v>
      </c>
      <c r="P25" s="338">
        <f>'Pro 3'!K227/1000</f>
        <v>0</v>
      </c>
    </row>
    <row r="26" spans="1:17" x14ac:dyDescent="0.2">
      <c r="A26" s="882"/>
      <c r="B26" s="42" t="s">
        <v>929</v>
      </c>
      <c r="C26" s="333" t="s">
        <v>53</v>
      </c>
      <c r="D26" s="337">
        <f>'Pro 3'!G194/1000</f>
        <v>0</v>
      </c>
      <c r="E26" s="337">
        <f>'Pro 3'!H194/1000</f>
        <v>0</v>
      </c>
      <c r="F26" s="337">
        <f>'Pro 3'!I194/1000</f>
        <v>0</v>
      </c>
      <c r="G26" s="337">
        <f>'Pro 3'!J194/1000</f>
        <v>0</v>
      </c>
      <c r="H26" s="338">
        <f>'Pro 3'!K194/1000</f>
        <v>0</v>
      </c>
      <c r="J26" s="882"/>
      <c r="K26" s="333" t="str">
        <f>C26</f>
        <v xml:space="preserve">Financial Expenses </v>
      </c>
      <c r="L26" s="337">
        <f>'Pro 3'!G228/1000</f>
        <v>0</v>
      </c>
      <c r="M26" s="337">
        <f>'Pro 3'!H228/1000</f>
        <v>0</v>
      </c>
      <c r="N26" s="337">
        <f>'Pro 3'!I228/1000</f>
        <v>0</v>
      </c>
      <c r="O26" s="337">
        <f>'Pro 3'!J228/1000</f>
        <v>0</v>
      </c>
      <c r="P26" s="338">
        <f>'Pro 3'!K228/1000</f>
        <v>0</v>
      </c>
    </row>
    <row r="27" spans="1:17" ht="13.5" thickBot="1" x14ac:dyDescent="0.25">
      <c r="A27" s="882"/>
      <c r="B27" s="42" t="s">
        <v>929</v>
      </c>
      <c r="C27" s="333" t="s">
        <v>446</v>
      </c>
      <c r="D27" s="337">
        <f>'Pro 3'!G195/1000</f>
        <v>0</v>
      </c>
      <c r="E27" s="337">
        <f>'Pro 3'!H195/1000</f>
        <v>0</v>
      </c>
      <c r="F27" s="337">
        <f>'Pro 3'!I195/1000</f>
        <v>0</v>
      </c>
      <c r="G27" s="337">
        <f>'Pro 3'!J195/1000</f>
        <v>0</v>
      </c>
      <c r="H27" s="338">
        <f>'Pro 3'!K195/1000</f>
        <v>0</v>
      </c>
      <c r="J27" s="882"/>
      <c r="K27" s="349" t="str">
        <f>C27</f>
        <v>Other expenses</v>
      </c>
      <c r="L27" s="350">
        <f>'Pro 3'!G229/1000</f>
        <v>0</v>
      </c>
      <c r="M27" s="350">
        <f>'Pro 3'!H229/1000</f>
        <v>0</v>
      </c>
      <c r="N27" s="350">
        <f>'Pro 3'!I229/1000</f>
        <v>0</v>
      </c>
      <c r="O27" s="350">
        <f>'Pro 3'!J229/1000</f>
        <v>0</v>
      </c>
      <c r="P27" s="351">
        <f>'Pro 3'!K229/1000</f>
        <v>0</v>
      </c>
    </row>
    <row r="28" spans="1:17" x14ac:dyDescent="0.2">
      <c r="C28" s="333"/>
      <c r="D28" s="337"/>
      <c r="E28" s="337"/>
      <c r="F28" s="337"/>
      <c r="G28" s="337"/>
      <c r="H28" s="338"/>
    </row>
    <row r="29" spans="1:17" x14ac:dyDescent="0.2">
      <c r="C29" s="330" t="s">
        <v>934</v>
      </c>
      <c r="D29" s="337"/>
      <c r="E29" s="337"/>
      <c r="F29" s="337"/>
      <c r="G29" s="337"/>
      <c r="H29" s="338"/>
    </row>
    <row r="30" spans="1:17" x14ac:dyDescent="0.2">
      <c r="A30" s="882" t="s">
        <v>1022</v>
      </c>
      <c r="B30" s="42" t="s">
        <v>929</v>
      </c>
      <c r="C30" s="333" t="s">
        <v>373</v>
      </c>
      <c r="D30" s="337">
        <f>'Pro 3'!G384/1000</f>
        <v>0</v>
      </c>
      <c r="E30" s="337">
        <f>'Pro 3'!H384/1000</f>
        <v>0</v>
      </c>
      <c r="F30" s="337">
        <f>'Pro 3'!I384/1000</f>
        <v>0</v>
      </c>
      <c r="G30" s="337">
        <f>'Pro 3'!J384/1000</f>
        <v>0</v>
      </c>
      <c r="H30" s="338">
        <f>'Pro 3'!K384/1000</f>
        <v>0</v>
      </c>
    </row>
    <row r="31" spans="1:17" x14ac:dyDescent="0.2">
      <c r="A31" s="882"/>
      <c r="B31" s="42" t="s">
        <v>929</v>
      </c>
      <c r="C31" s="333" t="s">
        <v>367</v>
      </c>
      <c r="D31" s="337">
        <f>'Pro 3'!G385/1000</f>
        <v>0</v>
      </c>
      <c r="E31" s="337">
        <f>'Pro 3'!H385/1000</f>
        <v>0</v>
      </c>
      <c r="F31" s="337">
        <f>'Pro 3'!I385/1000</f>
        <v>0</v>
      </c>
      <c r="G31" s="337">
        <f>'Pro 3'!J385/1000</f>
        <v>0</v>
      </c>
      <c r="H31" s="338">
        <f>'Pro 3'!K385/1000</f>
        <v>0</v>
      </c>
    </row>
    <row r="32" spans="1:17" x14ac:dyDescent="0.2">
      <c r="A32" s="347" t="s">
        <v>1024</v>
      </c>
      <c r="C32" s="333"/>
      <c r="D32" s="337"/>
      <c r="E32" s="337"/>
      <c r="F32" s="337"/>
      <c r="G32" s="337"/>
      <c r="H32" s="338"/>
    </row>
    <row r="33" spans="1:22" x14ac:dyDescent="0.2">
      <c r="A33" s="882" t="s">
        <v>1022</v>
      </c>
      <c r="B33" s="42" t="s">
        <v>929</v>
      </c>
      <c r="C33" s="333" t="s">
        <v>935</v>
      </c>
      <c r="D33" s="337">
        <f>'Pro 3'!G387/1000</f>
        <v>0</v>
      </c>
      <c r="E33" s="337">
        <f>'Pro 3'!H387/1000</f>
        <v>0</v>
      </c>
      <c r="F33" s="337">
        <f>'Pro 3'!I387/1000</f>
        <v>0</v>
      </c>
      <c r="G33" s="337">
        <f>'Pro 3'!J387/1000</f>
        <v>0</v>
      </c>
      <c r="H33" s="338">
        <f>'Pro 3'!K387/1000</f>
        <v>0</v>
      </c>
    </row>
    <row r="34" spans="1:22" x14ac:dyDescent="0.2">
      <c r="A34" s="882"/>
      <c r="B34" s="42" t="s">
        <v>929</v>
      </c>
      <c r="C34" s="333" t="s">
        <v>369</v>
      </c>
      <c r="D34" s="337">
        <f>'Pro 3'!G388/1000</f>
        <v>0</v>
      </c>
      <c r="E34" s="337">
        <f>'Pro 3'!H388/1000</f>
        <v>0</v>
      </c>
      <c r="F34" s="337">
        <f>'Pro 3'!I388/1000</f>
        <v>0</v>
      </c>
      <c r="G34" s="337">
        <f>'Pro 3'!J388/1000</f>
        <v>0</v>
      </c>
      <c r="H34" s="338">
        <f>'Pro 3'!K388/1000</f>
        <v>0</v>
      </c>
    </row>
    <row r="35" spans="1:22" ht="13.5" thickBot="1" x14ac:dyDescent="0.25">
      <c r="A35" s="882"/>
      <c r="B35" s="42" t="s">
        <v>929</v>
      </c>
      <c r="C35" s="349" t="s">
        <v>446</v>
      </c>
      <c r="D35" s="350">
        <f>'Pro 3'!G389/1000</f>
        <v>0</v>
      </c>
      <c r="E35" s="350">
        <f>'Pro 3'!H389/1000</f>
        <v>0</v>
      </c>
      <c r="F35" s="350">
        <f>'Pro 3'!I389/1000</f>
        <v>0</v>
      </c>
      <c r="G35" s="350">
        <f>'Pro 3'!J389/1000</f>
        <v>0</v>
      </c>
      <c r="H35" s="351">
        <f>'Pro 3'!K389/1000</f>
        <v>0</v>
      </c>
    </row>
    <row r="36" spans="1:22" ht="13.5" thickBot="1" x14ac:dyDescent="0.25">
      <c r="D36" s="337"/>
      <c r="E36" s="337"/>
      <c r="F36" s="337"/>
      <c r="G36" s="337"/>
      <c r="H36" s="337"/>
    </row>
    <row r="37" spans="1:22" ht="13.5" thickBot="1" x14ac:dyDescent="0.25">
      <c r="C37" s="326"/>
      <c r="K37" s="329"/>
      <c r="L37" s="43"/>
      <c r="M37" s="43"/>
      <c r="N37" s="43"/>
      <c r="O37" s="43"/>
      <c r="P37" s="43"/>
      <c r="Q37" s="43"/>
      <c r="R37" s="43"/>
      <c r="S37" s="43"/>
      <c r="T37" s="43"/>
      <c r="U37" s="328"/>
      <c r="V37" s="333"/>
    </row>
    <row r="38" spans="1:22" x14ac:dyDescent="0.2">
      <c r="C38" s="327" t="s">
        <v>936</v>
      </c>
      <c r="D38" s="878" t="s">
        <v>926</v>
      </c>
      <c r="E38" s="878"/>
      <c r="F38" s="878"/>
      <c r="G38" s="352"/>
      <c r="H38" s="353"/>
      <c r="K38" s="354" t="s">
        <v>937</v>
      </c>
      <c r="U38" s="355"/>
      <c r="V38" s="333"/>
    </row>
    <row r="39" spans="1:22" ht="13.5" thickBot="1" x14ac:dyDescent="0.25">
      <c r="C39" s="356"/>
      <c r="D39" s="334">
        <f>D6</f>
        <v>2023</v>
      </c>
      <c r="E39" s="334">
        <f>E6</f>
        <v>2024</v>
      </c>
      <c r="F39" s="334">
        <f>F6</f>
        <v>2025</v>
      </c>
      <c r="G39" s="334" t="str">
        <f>G6</f>
        <v>janv- mars 2025</v>
      </c>
      <c r="H39" s="335" t="str">
        <f>H6</f>
        <v>janv- mars 2026</v>
      </c>
      <c r="K39" s="883" t="s">
        <v>938</v>
      </c>
      <c r="L39" s="879"/>
      <c r="M39" s="879"/>
      <c r="N39" s="879"/>
      <c r="O39" s="879"/>
      <c r="P39" s="879"/>
      <c r="Q39" s="879"/>
      <c r="R39" s="879"/>
      <c r="S39" s="879"/>
      <c r="T39" s="879"/>
      <c r="U39" s="884"/>
      <c r="V39" s="357"/>
    </row>
    <row r="40" spans="1:22" x14ac:dyDescent="0.2">
      <c r="C40" s="333" t="s">
        <v>939</v>
      </c>
      <c r="D40" s="337">
        <f>'Pro 1'!G27</f>
        <v>0</v>
      </c>
      <c r="E40" s="337">
        <f>'Pro 1'!H27</f>
        <v>0</v>
      </c>
      <c r="F40" s="337">
        <f>'Pro 1'!I27</f>
        <v>0</v>
      </c>
      <c r="G40" s="337">
        <f>'Pro 1'!J27</f>
        <v>0</v>
      </c>
      <c r="H40" s="338">
        <f>'Pro 1'!K27</f>
        <v>0</v>
      </c>
      <c r="I40" s="358">
        <f>SUM('Pro 1'!G27:K27,'Pro 1'!G23:K23,'Pro 1'!G25:K25,'Pro 3'!G92:K93,'Pro 2'!G40:K40)</f>
        <v>0</v>
      </c>
      <c r="J40" s="359"/>
      <c r="K40" s="333" t="s">
        <v>86</v>
      </c>
      <c r="L40" s="42" t="s">
        <v>88</v>
      </c>
      <c r="M40" s="42" t="s">
        <v>90</v>
      </c>
      <c r="N40" s="42" t="s">
        <v>92</v>
      </c>
      <c r="O40" s="42" t="s">
        <v>298</v>
      </c>
      <c r="P40" s="42" t="s">
        <v>300</v>
      </c>
      <c r="Q40" s="42" t="s">
        <v>302</v>
      </c>
      <c r="R40" s="42" t="s">
        <v>304</v>
      </c>
      <c r="S40" s="42" t="s">
        <v>306</v>
      </c>
      <c r="T40" s="42" t="s">
        <v>308</v>
      </c>
      <c r="U40" s="355" t="s">
        <v>94</v>
      </c>
      <c r="V40" s="333"/>
    </row>
    <row r="41" spans="1:22" ht="13.5" thickBot="1" x14ac:dyDescent="0.25">
      <c r="C41" s="333"/>
      <c r="D41" s="337"/>
      <c r="E41" s="337"/>
      <c r="F41" s="337"/>
      <c r="G41" s="337"/>
      <c r="H41" s="338"/>
      <c r="I41" s="338">
        <f>SUM('Pro 2'!G38:K38,'Pro 3'!G98:K99,'Pro 3'!G104:L106,'Pro 2'!G41:K41,'Pro 3'!E326:J326)</f>
        <v>0</v>
      </c>
      <c r="J41" s="359"/>
      <c r="K41" s="360" t="str">
        <f>IF(OR('Pro 4'!B22="Yes",'Pro 4'!B22="Oui"),"X","")</f>
        <v/>
      </c>
      <c r="L41" s="361" t="str">
        <f>IF(OR('Pro 4'!B32="Yes",'Pro 4'!B32="Oui"),"X","")</f>
        <v/>
      </c>
      <c r="M41" s="361" t="str">
        <f>IF(OR('Pro 4'!B42="Yes",'Pro 4'!B42="Oui"),"X","")</f>
        <v/>
      </c>
      <c r="N41" s="361" t="str">
        <f>IF(OR('Pro 4'!B52="Yes",'Pro 4'!B52="Oui"),"X","")</f>
        <v/>
      </c>
      <c r="O41" s="361" t="str">
        <f>IF(OR('Pro 4'!B62="Yes",'Pro 4'!B62="Oui"),"X","")</f>
        <v/>
      </c>
      <c r="P41" s="361" t="str">
        <f>IF(OR('Pro 4'!B72="Yes",'Pro 4'!B72="Oui"),"X","")</f>
        <v/>
      </c>
      <c r="Q41" s="361" t="str">
        <f>IF(OR('Pro 4'!B82="Yes",'Pro 4'!B82="Oui"),"X","")</f>
        <v/>
      </c>
      <c r="R41" s="361" t="str">
        <f>IF(OR('Pro 4'!B92="Yes",'Pro 4'!B92="Oui"),"X","")</f>
        <v/>
      </c>
      <c r="S41" s="361" t="str">
        <f>IF(OR('Pro 4'!B102="Yes",'Pro 4'!B102="Oui"),"X","")</f>
        <v/>
      </c>
      <c r="T41" s="361" t="str">
        <f>IF(OR('Pro 4'!B112="Yes",'Pro 4'!B112="Oui"),"X","")</f>
        <v/>
      </c>
      <c r="U41" s="362" t="str">
        <f>IF(OR('Pro 4'!B122="Yes",'Pro 4'!B122="Oui"),"X","")</f>
        <v/>
      </c>
      <c r="V41" s="363" t="str">
        <f>IF(COUNTA('Pro 4'!$D$27:$M$27)&gt;0,"X"," ")</f>
        <v xml:space="preserve"> </v>
      </c>
    </row>
    <row r="42" spans="1:22" x14ac:dyDescent="0.2">
      <c r="C42" s="333" t="s">
        <v>940</v>
      </c>
      <c r="D42" s="337">
        <f>'Pro 1'!G23</f>
        <v>0</v>
      </c>
      <c r="E42" s="337">
        <f>'Pro 1'!H23</f>
        <v>0</v>
      </c>
      <c r="F42" s="337">
        <f>'Pro 1'!I23</f>
        <v>0</v>
      </c>
      <c r="G42" s="337">
        <f>'Pro 1'!J23</f>
        <v>0</v>
      </c>
      <c r="H42" s="338">
        <f>'Pro 1'!K23</f>
        <v>0</v>
      </c>
      <c r="I42" s="338">
        <f>SUM(I40:I41)</f>
        <v>0</v>
      </c>
      <c r="J42" s="359"/>
      <c r="K42" s="364" t="s">
        <v>941</v>
      </c>
      <c r="L42" s="365"/>
      <c r="M42" s="365"/>
      <c r="N42" s="365"/>
      <c r="O42" s="366"/>
      <c r="P42" s="366"/>
      <c r="Q42" s="367"/>
    </row>
    <row r="43" spans="1:22" x14ac:dyDescent="0.2">
      <c r="C43" s="333"/>
      <c r="D43" s="337"/>
      <c r="E43" s="337"/>
      <c r="F43" s="337"/>
      <c r="G43" s="337"/>
      <c r="H43" s="338"/>
      <c r="I43" s="368">
        <f>SUM(D40:H44,D48:H49,D57:H57)+SUM(D46:H46,D51:H52,D54:H55,D58:H58,D61:I61)*1000</f>
        <v>0</v>
      </c>
      <c r="J43" s="369"/>
      <c r="K43" s="354" t="s">
        <v>942</v>
      </c>
      <c r="M43" s="319">
        <f>D39</f>
        <v>2023</v>
      </c>
      <c r="N43" s="319">
        <f>E39</f>
        <v>2024</v>
      </c>
      <c r="O43" s="319">
        <f>F39</f>
        <v>2025</v>
      </c>
      <c r="P43" s="319" t="str">
        <f>G39</f>
        <v>janv- mars 2025</v>
      </c>
      <c r="Q43" s="370" t="str">
        <f>H39</f>
        <v>janv- mars 2026</v>
      </c>
    </row>
    <row r="44" spans="1:22" ht="13.5" thickBot="1" x14ac:dyDescent="0.25">
      <c r="C44" s="333" t="s">
        <v>943</v>
      </c>
      <c r="D44" s="337">
        <f>'Pro 1'!G25</f>
        <v>0</v>
      </c>
      <c r="E44" s="337">
        <f>'Pro 1'!H25</f>
        <v>0</v>
      </c>
      <c r="F44" s="337">
        <f>'Pro 1'!I25</f>
        <v>0</v>
      </c>
      <c r="G44" s="337">
        <f>'Pro 1'!J25</f>
        <v>0</v>
      </c>
      <c r="H44" s="338">
        <f>'Pro 1'!K25</f>
        <v>0</v>
      </c>
      <c r="I44" s="371" t="b">
        <f>I42=I43</f>
        <v>1</v>
      </c>
      <c r="J44" s="372"/>
      <c r="K44" s="333">
        <f>Public!D175</f>
        <v>0</v>
      </c>
      <c r="M44" s="337">
        <f>'Pro 3'!G25/1000</f>
        <v>0</v>
      </c>
      <c r="N44" s="337">
        <f>'Pro 3'!H25/1000</f>
        <v>0</v>
      </c>
      <c r="O44" s="337">
        <f>'Pro 3'!I25/1000</f>
        <v>0</v>
      </c>
      <c r="P44" s="337">
        <f>'Pro 3'!J25/1000</f>
        <v>0</v>
      </c>
      <c r="Q44" s="338">
        <f>'Pro 3'!K25/1000</f>
        <v>0</v>
      </c>
    </row>
    <row r="45" spans="1:22" x14ac:dyDescent="0.2">
      <c r="C45" s="333"/>
      <c r="D45" s="337"/>
      <c r="E45" s="337"/>
      <c r="F45" s="337"/>
      <c r="G45" s="337"/>
      <c r="H45" s="338"/>
      <c r="K45" s="333">
        <f>Public!D176</f>
        <v>0</v>
      </c>
      <c r="L45" s="313"/>
      <c r="M45" s="337">
        <f>'Pro 3'!G26/1000</f>
        <v>0</v>
      </c>
      <c r="N45" s="337">
        <f>'Pro 3'!H26/1000</f>
        <v>0</v>
      </c>
      <c r="O45" s="337">
        <f>'Pro 3'!I26/1000</f>
        <v>0</v>
      </c>
      <c r="P45" s="337">
        <f>'Pro 3'!J26/1000</f>
        <v>0</v>
      </c>
      <c r="Q45" s="338">
        <f>'Pro 3'!K26/1000</f>
        <v>0</v>
      </c>
    </row>
    <row r="46" spans="1:22" x14ac:dyDescent="0.2">
      <c r="B46" s="42" t="s">
        <v>929</v>
      </c>
      <c r="C46" s="333" t="s">
        <v>944</v>
      </c>
      <c r="D46" s="337">
        <f>'Pro 2'!G38/1000</f>
        <v>0</v>
      </c>
      <c r="E46" s="337">
        <f>'Pro 2'!H38/1000</f>
        <v>0</v>
      </c>
      <c r="F46" s="337">
        <f>'Pro 2'!I38/1000</f>
        <v>0</v>
      </c>
      <c r="G46" s="337">
        <f>'Pro 2'!J38/1000</f>
        <v>0</v>
      </c>
      <c r="H46" s="338">
        <f>'Pro 2'!K38/1000</f>
        <v>0</v>
      </c>
      <c r="K46" s="333">
        <f>Public!D177</f>
        <v>0</v>
      </c>
      <c r="L46" s="313"/>
      <c r="M46" s="337">
        <f>'Pro 3'!G27/1000</f>
        <v>0</v>
      </c>
      <c r="N46" s="337">
        <f>'Pro 3'!H27/1000</f>
        <v>0</v>
      </c>
      <c r="O46" s="337">
        <f>'Pro 3'!I27/1000</f>
        <v>0</v>
      </c>
      <c r="P46" s="337">
        <f>'Pro 3'!J27/1000</f>
        <v>0</v>
      </c>
      <c r="Q46" s="338">
        <f>'Pro 3'!K27/1000</f>
        <v>0</v>
      </c>
    </row>
    <row r="47" spans="1:22" ht="13.5" thickBot="1" x14ac:dyDescent="0.25">
      <c r="C47" s="333"/>
      <c r="D47" s="337"/>
      <c r="E47" s="337"/>
      <c r="F47" s="337"/>
      <c r="G47" s="337"/>
      <c r="H47" s="338"/>
      <c r="K47" s="373" t="s">
        <v>59</v>
      </c>
      <c r="L47" s="374" t="s">
        <v>60</v>
      </c>
      <c r="M47" s="350">
        <f>'Pro 3'!G28/1000</f>
        <v>0</v>
      </c>
      <c r="N47" s="350">
        <f>'Pro 3'!H28/1000</f>
        <v>0</v>
      </c>
      <c r="O47" s="350">
        <f>'Pro 3'!I28/1000</f>
        <v>0</v>
      </c>
      <c r="P47" s="350">
        <f>'Pro 3'!J28/1000</f>
        <v>0</v>
      </c>
      <c r="Q47" s="351">
        <f>'Pro 3'!K28/1000</f>
        <v>0</v>
      </c>
    </row>
    <row r="48" spans="1:22" ht="13.5" thickBot="1" x14ac:dyDescent="0.25">
      <c r="C48" s="333" t="s">
        <v>945</v>
      </c>
      <c r="D48" s="337">
        <f>'Pro 3'!G92</f>
        <v>0</v>
      </c>
      <c r="E48" s="337">
        <f>'Pro 3'!H92</f>
        <v>0</v>
      </c>
      <c r="F48" s="337">
        <f>'Pro 3'!I92</f>
        <v>0</v>
      </c>
      <c r="G48" s="337">
        <f>'Pro 3'!J92</f>
        <v>0</v>
      </c>
      <c r="H48" s="338">
        <f>'Pro 3'!K92</f>
        <v>0</v>
      </c>
      <c r="M48" s="375"/>
    </row>
    <row r="49" spans="2:19" x14ac:dyDescent="0.2">
      <c r="C49" s="333" t="s">
        <v>946</v>
      </c>
      <c r="D49" s="337">
        <f>'Pro 3'!G93</f>
        <v>0</v>
      </c>
      <c r="E49" s="337">
        <f>'Pro 3'!H93</f>
        <v>0</v>
      </c>
      <c r="F49" s="337">
        <f>'Pro 3'!I93</f>
        <v>0</v>
      </c>
      <c r="G49" s="337">
        <f>'Pro 3'!J93</f>
        <v>0</v>
      </c>
      <c r="H49" s="338">
        <f>'Pro 3'!K93</f>
        <v>0</v>
      </c>
      <c r="M49" s="376">
        <f>SUM(M44:Q47)*1000</f>
        <v>0</v>
      </c>
      <c r="S49" s="42" t="s">
        <v>947</v>
      </c>
    </row>
    <row r="50" spans="2:19" x14ac:dyDescent="0.2">
      <c r="C50" s="333"/>
      <c r="D50" s="337"/>
      <c r="E50" s="337"/>
      <c r="F50" s="337"/>
      <c r="G50" s="337"/>
      <c r="H50" s="338"/>
      <c r="M50" s="377">
        <f>SUM(D11:H11)*1000</f>
        <v>0</v>
      </c>
    </row>
    <row r="51" spans="2:19" ht="13.5" thickBot="1" x14ac:dyDescent="0.25">
      <c r="B51" s="42" t="s">
        <v>929</v>
      </c>
      <c r="C51" s="333" t="s">
        <v>948</v>
      </c>
      <c r="D51" s="337">
        <f>'Pro 3'!G98/1000</f>
        <v>0</v>
      </c>
      <c r="E51" s="337">
        <f>'Pro 3'!H98/1000</f>
        <v>0</v>
      </c>
      <c r="F51" s="337">
        <f>'Pro 3'!I98/1000</f>
        <v>0</v>
      </c>
      <c r="G51" s="337">
        <f>'Pro 3'!J98/1000</f>
        <v>0</v>
      </c>
      <c r="H51" s="338">
        <f>'Pro 3'!K98/1000</f>
        <v>0</v>
      </c>
      <c r="M51" s="378" t="b">
        <f>M49=M50</f>
        <v>1</v>
      </c>
    </row>
    <row r="52" spans="2:19" x14ac:dyDescent="0.2">
      <c r="B52" s="42" t="s">
        <v>929</v>
      </c>
      <c r="C52" s="333" t="s">
        <v>949</v>
      </c>
      <c r="D52" s="337">
        <f>'Pro 3'!G99/1000</f>
        <v>0</v>
      </c>
      <c r="E52" s="337">
        <f>'Pro 3'!H99/1000</f>
        <v>0</v>
      </c>
      <c r="F52" s="337">
        <f>'Pro 3'!I99/1000</f>
        <v>0</v>
      </c>
      <c r="G52" s="337">
        <f>'Pro 3'!J99/1000</f>
        <v>0</v>
      </c>
      <c r="H52" s="338">
        <f>'Pro 3'!K99/1000</f>
        <v>0</v>
      </c>
      <c r="K52" s="379" t="s">
        <v>950</v>
      </c>
      <c r="L52" s="43"/>
      <c r="M52" s="878" t="s">
        <v>938</v>
      </c>
      <c r="N52" s="878"/>
      <c r="O52" s="878"/>
      <c r="P52" s="352"/>
      <c r="Q52" s="353"/>
    </row>
    <row r="53" spans="2:19" x14ac:dyDescent="0.2">
      <c r="C53" s="333"/>
      <c r="D53" s="337"/>
      <c r="E53" s="337"/>
      <c r="F53" s="337"/>
      <c r="G53" s="337"/>
      <c r="H53" s="338"/>
      <c r="K53" s="354" t="s">
        <v>942</v>
      </c>
      <c r="M53" s="319">
        <f>M43</f>
        <v>2023</v>
      </c>
      <c r="N53" s="319">
        <f t="shared" ref="N53:Q53" si="0">N43</f>
        <v>2024</v>
      </c>
      <c r="O53" s="319">
        <f t="shared" si="0"/>
        <v>2025</v>
      </c>
      <c r="P53" s="319" t="str">
        <f t="shared" si="0"/>
        <v>janv- mars 2025</v>
      </c>
      <c r="Q53" s="370" t="str">
        <f t="shared" si="0"/>
        <v>janv- mars 2026</v>
      </c>
      <c r="R53" s="319"/>
    </row>
    <row r="54" spans="2:19" x14ac:dyDescent="0.2">
      <c r="B54" s="42" t="s">
        <v>929</v>
      </c>
      <c r="C54" s="333" t="s">
        <v>951</v>
      </c>
      <c r="D54" s="337">
        <f>SUM('Pro 3'!G104:G105)/1000</f>
        <v>0</v>
      </c>
      <c r="E54" s="337">
        <f>SUM('Pro 3'!H104:H105)/1000</f>
        <v>0</v>
      </c>
      <c r="F54" s="337">
        <f>SUM('Pro 3'!I104:I105)/1000</f>
        <v>0</v>
      </c>
      <c r="G54" s="337">
        <f>SUM('Pro 3'!J104:J105)/1000</f>
        <v>0</v>
      </c>
      <c r="H54" s="338">
        <f>SUM('Pro 3'!K104:K105)/1000</f>
        <v>0</v>
      </c>
      <c r="K54" s="333">
        <f>K44</f>
        <v>0</v>
      </c>
      <c r="M54" s="337">
        <f>'Pro 3'!G50/1000</f>
        <v>0</v>
      </c>
      <c r="N54" s="337">
        <f>'Pro 3'!H50/1000</f>
        <v>0</v>
      </c>
      <c r="O54" s="337">
        <f>'Pro 3'!I50/1000</f>
        <v>0</v>
      </c>
      <c r="P54" s="337">
        <f>'Pro 3'!J50/1000</f>
        <v>0</v>
      </c>
      <c r="Q54" s="338">
        <f>'Pro 3'!K50/1000</f>
        <v>0</v>
      </c>
    </row>
    <row r="55" spans="2:19" x14ac:dyDescent="0.2">
      <c r="B55" s="42" t="s">
        <v>929</v>
      </c>
      <c r="C55" s="333" t="s">
        <v>952</v>
      </c>
      <c r="D55" s="337">
        <f>'Pro 3'!G106/1000</f>
        <v>0</v>
      </c>
      <c r="E55" s="337">
        <f>'Pro 3'!H106/1000</f>
        <v>0</v>
      </c>
      <c r="F55" s="337">
        <f>'Pro 3'!I106/1000</f>
        <v>0</v>
      </c>
      <c r="G55" s="337">
        <f>'Pro 3'!J106/1000</f>
        <v>0</v>
      </c>
      <c r="H55" s="338">
        <f>'Pro 3'!K106/1000</f>
        <v>0</v>
      </c>
      <c r="K55" s="333">
        <f t="shared" ref="K55:K56" si="1">K45</f>
        <v>0</v>
      </c>
      <c r="L55" s="313"/>
      <c r="M55" s="337">
        <f>'Pro 3'!G51/1000</f>
        <v>0</v>
      </c>
      <c r="N55" s="337">
        <f>'Pro 3'!H51/1000</f>
        <v>0</v>
      </c>
      <c r="O55" s="337">
        <f>'Pro 3'!I51/1000</f>
        <v>0</v>
      </c>
      <c r="P55" s="337">
        <f>'Pro 3'!J51/1000</f>
        <v>0</v>
      </c>
      <c r="Q55" s="338">
        <f>'Pro 3'!K51/1000</f>
        <v>0</v>
      </c>
    </row>
    <row r="56" spans="2:19" x14ac:dyDescent="0.2">
      <c r="C56" s="333"/>
      <c r="D56" s="337"/>
      <c r="E56" s="337"/>
      <c r="F56" s="337"/>
      <c r="G56" s="337"/>
      <c r="H56" s="338"/>
      <c r="K56" s="333">
        <f t="shared" si="1"/>
        <v>0</v>
      </c>
      <c r="L56" s="313"/>
      <c r="M56" s="337">
        <f>'Pro 3'!G52/1000</f>
        <v>0</v>
      </c>
      <c r="N56" s="337">
        <f>'Pro 3'!H52/1000</f>
        <v>0</v>
      </c>
      <c r="O56" s="337">
        <f>'Pro 3'!I52/1000</f>
        <v>0</v>
      </c>
      <c r="P56" s="337">
        <f>'Pro 3'!J52/1000</f>
        <v>0</v>
      </c>
      <c r="Q56" s="338">
        <f>'Pro 3'!K52/1000</f>
        <v>0</v>
      </c>
    </row>
    <row r="57" spans="2:19" ht="13.5" thickBot="1" x14ac:dyDescent="0.25">
      <c r="C57" s="333" t="s">
        <v>953</v>
      </c>
      <c r="D57" s="337">
        <f>'Pro 2'!G40</f>
        <v>0</v>
      </c>
      <c r="E57" s="337">
        <f>'Pro 2'!H40</f>
        <v>0</v>
      </c>
      <c r="F57" s="337">
        <f>'Pro 2'!I40</f>
        <v>0</v>
      </c>
      <c r="G57" s="337">
        <f>'Pro 2'!J40</f>
        <v>0</v>
      </c>
      <c r="H57" s="338">
        <f>'Pro 2'!K40</f>
        <v>0</v>
      </c>
      <c r="K57" s="373" t="s">
        <v>59</v>
      </c>
      <c r="L57" s="374" t="s">
        <v>60</v>
      </c>
      <c r="M57" s="350">
        <f>'Pro 3'!G53/1000</f>
        <v>0</v>
      </c>
      <c r="N57" s="350">
        <f>'Pro 3'!H53/1000</f>
        <v>0</v>
      </c>
      <c r="O57" s="350">
        <f>'Pro 3'!I53/1000</f>
        <v>0</v>
      </c>
      <c r="P57" s="350">
        <f>'Pro 3'!J53/1000</f>
        <v>0</v>
      </c>
      <c r="Q57" s="351">
        <f>'Pro 3'!K53/1000</f>
        <v>0</v>
      </c>
    </row>
    <row r="58" spans="2:19" ht="13.5" thickBot="1" x14ac:dyDescent="0.25">
      <c r="B58" s="42" t="s">
        <v>929</v>
      </c>
      <c r="C58" s="333" t="s">
        <v>954</v>
      </c>
      <c r="D58" s="337">
        <f>'Pro 2'!G41/1000</f>
        <v>0</v>
      </c>
      <c r="E58" s="337">
        <f>'Pro 2'!H41/1000</f>
        <v>0</v>
      </c>
      <c r="F58" s="337">
        <f>'Pro 2'!I41/1000</f>
        <v>0</v>
      </c>
      <c r="G58" s="337">
        <f>'Pro 2'!J41/1000</f>
        <v>0</v>
      </c>
      <c r="H58" s="338">
        <f>'Pro 2'!K41/1000</f>
        <v>0</v>
      </c>
    </row>
    <row r="59" spans="2:19" ht="13.5" thickBot="1" x14ac:dyDescent="0.25">
      <c r="C59" s="333"/>
      <c r="D59" s="316"/>
      <c r="E59" s="316"/>
      <c r="F59" s="316"/>
      <c r="G59" s="316"/>
      <c r="H59" s="380"/>
      <c r="I59" s="349"/>
      <c r="M59" s="376">
        <f>SUM(M54:Q57)*1000</f>
        <v>0</v>
      </c>
      <c r="P59" s="381"/>
      <c r="Q59" s="381"/>
      <c r="R59" s="381"/>
    </row>
    <row r="60" spans="2:19" ht="13.5" thickBot="1" x14ac:dyDescent="0.25">
      <c r="C60" s="333"/>
      <c r="D60" s="334">
        <f>D39</f>
        <v>2023</v>
      </c>
      <c r="E60" s="334">
        <f t="shared" ref="E60:F60" si="2">E39</f>
        <v>2024</v>
      </c>
      <c r="F60" s="334">
        <f t="shared" si="2"/>
        <v>2025</v>
      </c>
      <c r="G60" s="334">
        <f>F60+1</f>
        <v>2026</v>
      </c>
      <c r="H60" s="334">
        <f t="shared" ref="H60:I60" si="3">G60+1</f>
        <v>2027</v>
      </c>
      <c r="I60" s="335">
        <f t="shared" si="3"/>
        <v>2028</v>
      </c>
      <c r="J60" s="334"/>
      <c r="K60" s="382"/>
      <c r="L60" s="382"/>
      <c r="M60" s="383">
        <f>SUM(L11:P11)*1000</f>
        <v>0</v>
      </c>
      <c r="P60" s="381"/>
      <c r="Q60" s="381"/>
      <c r="R60" s="381"/>
    </row>
    <row r="61" spans="2:19" ht="13.5" thickBot="1" x14ac:dyDescent="0.25">
      <c r="B61" s="42" t="s">
        <v>929</v>
      </c>
      <c r="C61" s="349" t="s">
        <v>255</v>
      </c>
      <c r="D61" s="350">
        <f>'Pro 3'!E326/1000</f>
        <v>0</v>
      </c>
      <c r="E61" s="350">
        <f>'Pro 3'!F326/1000</f>
        <v>0</v>
      </c>
      <c r="F61" s="350">
        <f>'Pro 3'!G326/1000</f>
        <v>0</v>
      </c>
      <c r="G61" s="350">
        <f>'Pro 3'!H326/1000</f>
        <v>0</v>
      </c>
      <c r="H61" s="350">
        <f>'Pro 3'!I326/1000</f>
        <v>0</v>
      </c>
      <c r="I61" s="351">
        <f>'Pro 3'!J326/1000</f>
        <v>0</v>
      </c>
      <c r="J61" s="316"/>
      <c r="K61" s="316"/>
      <c r="L61" s="316"/>
      <c r="M61" s="384" t="b">
        <f>M59=M60</f>
        <v>1</v>
      </c>
      <c r="P61" s="310"/>
      <c r="Q61" s="310"/>
      <c r="R61" s="310"/>
    </row>
    <row r="62" spans="2:19" x14ac:dyDescent="0.2">
      <c r="D62" s="316"/>
      <c r="E62" s="316"/>
      <c r="F62" s="316"/>
      <c r="G62" s="316"/>
      <c r="H62" s="316"/>
      <c r="I62" s="316"/>
      <c r="J62" s="316"/>
      <c r="K62" s="316"/>
      <c r="L62" s="316"/>
      <c r="M62" s="316"/>
      <c r="O62" s="310"/>
      <c r="P62" s="310"/>
      <c r="Q62" s="310"/>
      <c r="R62" s="310"/>
    </row>
    <row r="63" spans="2:19" ht="13.5" thickBot="1" x14ac:dyDescent="0.25">
      <c r="D63" s="879" t="s">
        <v>955</v>
      </c>
      <c r="E63" s="879"/>
      <c r="F63" s="879"/>
      <c r="G63" s="331"/>
      <c r="H63" s="331"/>
      <c r="I63" s="385" t="s">
        <v>938</v>
      </c>
      <c r="J63" s="385"/>
      <c r="K63" s="385"/>
      <c r="L63" s="385"/>
      <c r="M63" s="385"/>
      <c r="N63" s="880" t="s">
        <v>1023</v>
      </c>
      <c r="O63" s="880"/>
      <c r="P63" s="880"/>
      <c r="Q63" s="880"/>
      <c r="R63" s="880"/>
    </row>
    <row r="64" spans="2:19" x14ac:dyDescent="0.2">
      <c r="C64" s="327" t="s">
        <v>477</v>
      </c>
      <c r="D64" s="881" t="s">
        <v>441</v>
      </c>
      <c r="E64" s="881"/>
      <c r="F64" s="881"/>
      <c r="G64" s="386"/>
      <c r="H64" s="386"/>
      <c r="I64" s="387" t="s">
        <v>956</v>
      </c>
      <c r="J64" s="387"/>
      <c r="K64" s="387"/>
      <c r="L64" s="387" t="s">
        <v>957</v>
      </c>
      <c r="M64" s="387"/>
      <c r="N64" s="387"/>
      <c r="O64" s="387"/>
      <c r="P64" s="387"/>
      <c r="Q64" s="387"/>
      <c r="R64" s="388"/>
    </row>
    <row r="65" spans="3:18" ht="49.5" customHeight="1" x14ac:dyDescent="0.2">
      <c r="C65" s="356"/>
      <c r="D65" s="389">
        <f>D39</f>
        <v>2023</v>
      </c>
      <c r="E65" s="389">
        <f t="shared" ref="E65:H65" si="4">E39</f>
        <v>2024</v>
      </c>
      <c r="F65" s="389">
        <f t="shared" si="4"/>
        <v>2025</v>
      </c>
      <c r="G65" s="389" t="str">
        <f t="shared" si="4"/>
        <v>janv- mars 2025</v>
      </c>
      <c r="H65" s="389" t="str">
        <f t="shared" si="4"/>
        <v>janv- mars 2026</v>
      </c>
      <c r="I65" s="389">
        <f t="shared" ref="I65:R65" si="5">D65</f>
        <v>2023</v>
      </c>
      <c r="J65" s="389">
        <f t="shared" si="5"/>
        <v>2024</v>
      </c>
      <c r="K65" s="389">
        <f t="shared" si="5"/>
        <v>2025</v>
      </c>
      <c r="L65" s="389" t="str">
        <f t="shared" si="5"/>
        <v>janv- mars 2025</v>
      </c>
      <c r="M65" s="389" t="str">
        <f t="shared" si="5"/>
        <v>janv- mars 2026</v>
      </c>
      <c r="N65" s="389">
        <f t="shared" si="5"/>
        <v>2023</v>
      </c>
      <c r="O65" s="389">
        <f t="shared" si="5"/>
        <v>2024</v>
      </c>
      <c r="P65" s="389">
        <f t="shared" si="5"/>
        <v>2025</v>
      </c>
      <c r="Q65" s="389" t="str">
        <f t="shared" si="5"/>
        <v>janv- mars 2025</v>
      </c>
      <c r="R65" s="390" t="str">
        <f t="shared" si="5"/>
        <v>janv- mars 2026</v>
      </c>
    </row>
    <row r="66" spans="3:18" x14ac:dyDescent="0.2">
      <c r="C66" s="357" t="s">
        <v>437</v>
      </c>
      <c r="D66" s="42" t="s">
        <v>958</v>
      </c>
      <c r="E66" s="42" t="s">
        <v>958</v>
      </c>
      <c r="F66" s="42" t="s">
        <v>958</v>
      </c>
      <c r="G66" s="42" t="s">
        <v>958</v>
      </c>
      <c r="H66" s="42" t="s">
        <v>958</v>
      </c>
      <c r="I66" s="42" t="s">
        <v>959</v>
      </c>
      <c r="J66" s="42" t="s">
        <v>959</v>
      </c>
      <c r="K66" s="42" t="s">
        <v>959</v>
      </c>
      <c r="L66" s="42" t="s">
        <v>959</v>
      </c>
      <c r="M66" s="42" t="s">
        <v>959</v>
      </c>
      <c r="N66" s="42" t="s">
        <v>960</v>
      </c>
      <c r="O66" s="42" t="s">
        <v>960</v>
      </c>
      <c r="Q66" s="42" t="s">
        <v>960</v>
      </c>
      <c r="R66" s="355" t="s">
        <v>960</v>
      </c>
    </row>
    <row r="67" spans="3:18" x14ac:dyDescent="0.2">
      <c r="C67" s="333" t="s">
        <v>1025</v>
      </c>
      <c r="D67" s="391">
        <f>'Pro 2'!G28</f>
        <v>0</v>
      </c>
      <c r="E67" s="391">
        <f>'Pro 2'!H28</f>
        <v>0</v>
      </c>
      <c r="F67" s="391">
        <f>'Pro 2'!I28</f>
        <v>0</v>
      </c>
      <c r="G67" s="391">
        <f>'Pro 2'!J28</f>
        <v>0</v>
      </c>
      <c r="H67" s="391">
        <f>'Pro 2'!K28</f>
        <v>0</v>
      </c>
      <c r="I67" s="391">
        <f>'Pro 2'!G29/1000</f>
        <v>0</v>
      </c>
      <c r="J67" s="391">
        <f>'Pro 2'!H29/1000</f>
        <v>0</v>
      </c>
      <c r="K67" s="391">
        <f>'Pro 2'!I29/1000</f>
        <v>0</v>
      </c>
      <c r="L67" s="391">
        <f>'Pro 2'!J29/1000</f>
        <v>0</v>
      </c>
      <c r="M67" s="391">
        <f>'Pro 2'!K29/1000</f>
        <v>0</v>
      </c>
      <c r="N67" s="392">
        <f t="shared" ref="N67:R68" si="6">(IF(ISERROR(I67/D67),0,I67/D67))*1000</f>
        <v>0</v>
      </c>
      <c r="O67" s="392">
        <f t="shared" si="6"/>
        <v>0</v>
      </c>
      <c r="P67" s="392">
        <f t="shared" si="6"/>
        <v>0</v>
      </c>
      <c r="Q67" s="392">
        <f t="shared" si="6"/>
        <v>0</v>
      </c>
      <c r="R67" s="393">
        <f t="shared" si="6"/>
        <v>0</v>
      </c>
    </row>
    <row r="68" spans="3:18" ht="13.5" thickBot="1" x14ac:dyDescent="0.25">
      <c r="C68" s="349" t="s">
        <v>961</v>
      </c>
      <c r="D68" s="394">
        <f>'Pro 2'!G31</f>
        <v>0</v>
      </c>
      <c r="E68" s="394">
        <f>'Pro 2'!H31</f>
        <v>0</v>
      </c>
      <c r="F68" s="394">
        <f>'Pro 2'!I31</f>
        <v>0</v>
      </c>
      <c r="G68" s="394">
        <f>'Pro 2'!J31</f>
        <v>0</v>
      </c>
      <c r="H68" s="394">
        <f>'Pro 2'!K31</f>
        <v>0</v>
      </c>
      <c r="I68" s="394">
        <f>'Pro 2'!G32/1000</f>
        <v>0</v>
      </c>
      <c r="J68" s="394">
        <f>'Pro 2'!H32/1000</f>
        <v>0</v>
      </c>
      <c r="K68" s="394">
        <f>'Pro 2'!I32/1000</f>
        <v>0</v>
      </c>
      <c r="L68" s="394">
        <f>'Pro 2'!J32/1000</f>
        <v>0</v>
      </c>
      <c r="M68" s="394">
        <f>'Pro 2'!K32/1000</f>
        <v>0</v>
      </c>
      <c r="N68" s="395">
        <f t="shared" si="6"/>
        <v>0</v>
      </c>
      <c r="O68" s="395">
        <f t="shared" si="6"/>
        <v>0</v>
      </c>
      <c r="P68" s="395">
        <f t="shared" si="6"/>
        <v>0</v>
      </c>
      <c r="Q68" s="395">
        <f t="shared" si="6"/>
        <v>0</v>
      </c>
      <c r="R68" s="396">
        <f t="shared" si="6"/>
        <v>0</v>
      </c>
    </row>
    <row r="69" spans="3:18" ht="13.5" thickBot="1" x14ac:dyDescent="0.25"/>
    <row r="70" spans="3:18" x14ac:dyDescent="0.2">
      <c r="C70" s="42" t="s">
        <v>962</v>
      </c>
      <c r="D70" s="376">
        <f>SUM(D67:H68)</f>
        <v>0</v>
      </c>
    </row>
    <row r="71" spans="3:18" ht="13.5" thickBot="1" x14ac:dyDescent="0.25">
      <c r="D71" s="383">
        <f>SUM('Pro 2'!G28:K28,'Pro 2'!G31:K31)</f>
        <v>0</v>
      </c>
    </row>
    <row r="72" spans="3:18" ht="13.5" thickBot="1" x14ac:dyDescent="0.25">
      <c r="D72" s="384" t="b">
        <f>D70=D71</f>
        <v>1</v>
      </c>
    </row>
    <row r="73" spans="3:18" ht="13.5" thickBot="1" x14ac:dyDescent="0.25"/>
    <row r="74" spans="3:18" x14ac:dyDescent="0.2">
      <c r="C74" s="42" t="s">
        <v>963</v>
      </c>
      <c r="D74" s="376">
        <f>SUM(I67:M68)</f>
        <v>0</v>
      </c>
    </row>
    <row r="75" spans="3:18" ht="13.5" thickBot="1" x14ac:dyDescent="0.25">
      <c r="D75" s="383">
        <f>SUM('Pro 2'!G29:K29,'Pro 2'!G32:K32)/1000</f>
        <v>0</v>
      </c>
    </row>
    <row r="76" spans="3:18" ht="13.5" thickBot="1" x14ac:dyDescent="0.25">
      <c r="D76" s="384" t="b">
        <f>D74=D75</f>
        <v>1</v>
      </c>
    </row>
    <row r="77" spans="3:18" ht="13.5" thickBot="1" x14ac:dyDescent="0.25"/>
    <row r="78" spans="3:18" x14ac:dyDescent="0.2">
      <c r="C78" s="327" t="s">
        <v>964</v>
      </c>
      <c r="D78" s="397">
        <f>D65</f>
        <v>2023</v>
      </c>
      <c r="E78" s="397">
        <f>E65</f>
        <v>2024</v>
      </c>
      <c r="F78" s="397">
        <f>F65</f>
        <v>2025</v>
      </c>
      <c r="G78" s="397" t="str">
        <f>G65</f>
        <v>janv- mars 2025</v>
      </c>
      <c r="H78" s="398" t="str">
        <f>H65</f>
        <v>janv- mars 2026</v>
      </c>
    </row>
    <row r="79" spans="3:18" x14ac:dyDescent="0.2">
      <c r="C79" s="333" t="s">
        <v>40</v>
      </c>
      <c r="D79" s="399" t="str">
        <f>Confirm!E35</f>
        <v>-</v>
      </c>
      <c r="E79" s="399" t="str">
        <f>Confirm!F35</f>
        <v>-</v>
      </c>
      <c r="F79" s="399" t="str">
        <f>Confirm!G35</f>
        <v>-</v>
      </c>
      <c r="G79" s="399" t="str">
        <f>Confirm!H35</f>
        <v>-</v>
      </c>
      <c r="H79" s="400" t="str">
        <f>Confirm!I35</f>
        <v>-</v>
      </c>
    </row>
    <row r="80" spans="3:18" x14ac:dyDescent="0.2">
      <c r="C80" s="333" t="s">
        <v>1026</v>
      </c>
      <c r="D80" s="399" t="str">
        <f>Confirm!E36</f>
        <v>-</v>
      </c>
      <c r="E80" s="399" t="str">
        <f>Confirm!F36</f>
        <v>-</v>
      </c>
      <c r="F80" s="399" t="str">
        <f>Confirm!G36</f>
        <v>-</v>
      </c>
      <c r="G80" s="399" t="str">
        <f>Confirm!H36</f>
        <v>-</v>
      </c>
      <c r="H80" s="400" t="str">
        <f>Confirm!I36</f>
        <v>-</v>
      </c>
    </row>
    <row r="81" spans="3:8" x14ac:dyDescent="0.2">
      <c r="C81" s="333" t="s">
        <v>1027</v>
      </c>
      <c r="D81" s="399" t="str">
        <f>Confirm!E37</f>
        <v>-</v>
      </c>
      <c r="E81" s="399" t="str">
        <f>Confirm!F37</f>
        <v>-</v>
      </c>
      <c r="F81" s="399" t="str">
        <f>Confirm!G37</f>
        <v>-</v>
      </c>
      <c r="G81" s="399" t="str">
        <f>Confirm!H37</f>
        <v>-</v>
      </c>
      <c r="H81" s="400" t="str">
        <f>Confirm!I37</f>
        <v>-</v>
      </c>
    </row>
    <row r="82" spans="3:8" ht="13.5" thickBot="1" x14ac:dyDescent="0.25">
      <c r="C82" s="349" t="s">
        <v>41</v>
      </c>
      <c r="D82" s="401" t="str">
        <f>Confirm!E38</f>
        <v>-</v>
      </c>
      <c r="E82" s="401" t="str">
        <f>Confirm!F38</f>
        <v>-</v>
      </c>
      <c r="F82" s="401" t="str">
        <f>Confirm!G38</f>
        <v>-</v>
      </c>
      <c r="G82" s="401" t="str">
        <f>Confirm!H38</f>
        <v>-</v>
      </c>
      <c r="H82" s="402" t="str">
        <f>Confirm!I38</f>
        <v>-</v>
      </c>
    </row>
  </sheetData>
  <sheetProtection algorithmName="SHA-512" hashValue="Wmp3amZ5hXGR6SpdS3ZSXAfBxHJMfg4NnwAs1Nu6pek2b3wlHdndk5CmMcD3nUQly3mz1qdH3flBSl0S+VOXsw==" saltValue="2c556cXmv7BYSomz3jsMKw==" spinCount="100000" sheet="1" objects="1" scenarios="1" selectLockedCells="1"/>
  <mergeCells count="16">
    <mergeCell ref="A23:A24"/>
    <mergeCell ref="D5:F5"/>
    <mergeCell ref="A7:A14"/>
    <mergeCell ref="J7:J14"/>
    <mergeCell ref="A16:A20"/>
    <mergeCell ref="J16:J20"/>
    <mergeCell ref="M52:O52"/>
    <mergeCell ref="D63:F63"/>
    <mergeCell ref="N63:R63"/>
    <mergeCell ref="D64:F64"/>
    <mergeCell ref="A25:A27"/>
    <mergeCell ref="J25:J27"/>
    <mergeCell ref="A30:A31"/>
    <mergeCell ref="A33:A35"/>
    <mergeCell ref="D38:F38"/>
    <mergeCell ref="K39:U39"/>
  </mergeCells>
  <conditionalFormatting sqref="D72">
    <cfRule type="containsText" dxfId="29" priority="5" operator="containsText" text="FALSE">
      <formula>NOT(ISERROR(SEARCH("FALSE",D72)))</formula>
    </cfRule>
    <cfRule type="containsText" dxfId="28" priority="6" operator="containsText" text="TRUE">
      <formula>NOT(ISERROR(SEARCH("TRUE",D72)))</formula>
    </cfRule>
  </conditionalFormatting>
  <conditionalFormatting sqref="D76">
    <cfRule type="containsText" dxfId="27" priority="3" operator="containsText" text="FALSE">
      <formula>NOT(ISERROR(SEARCH("FALSE",D76)))</formula>
    </cfRule>
    <cfRule type="containsText" dxfId="26" priority="4" operator="containsText" text="TRUE">
      <formula>NOT(ISERROR(SEARCH("TRUE",D76)))</formula>
    </cfRule>
  </conditionalFormatting>
  <conditionalFormatting sqref="E2">
    <cfRule type="containsText" dxfId="25" priority="1" operator="containsText" text="Don't">
      <formula>NOT(ISERROR(SEARCH("Don't",E2)))</formula>
    </cfRule>
    <cfRule type="containsText" dxfId="24" priority="2" operator="containsText" text="Copy">
      <formula>NOT(ISERROR(SEARCH("Copy",E2)))</formula>
    </cfRule>
  </conditionalFormatting>
  <conditionalFormatting sqref="I9">
    <cfRule type="containsText" dxfId="23" priority="19" operator="containsText" text="FALSE">
      <formula>NOT(ISERROR(SEARCH("FALSE",I9)))</formula>
    </cfRule>
    <cfRule type="containsText" dxfId="22" priority="20" operator="containsText" text="TRUE">
      <formula>NOT(ISERROR(SEARCH("TRUE",I9)))</formula>
    </cfRule>
  </conditionalFormatting>
  <conditionalFormatting sqref="I18">
    <cfRule type="containsText" dxfId="21" priority="17" operator="containsText" text="FALSE">
      <formula>NOT(ISERROR(SEARCH("FALSE",I18)))</formula>
    </cfRule>
    <cfRule type="containsText" dxfId="20" priority="18" operator="containsText" text="TRUE">
      <formula>NOT(ISERROR(SEARCH("TRUE",I18)))</formula>
    </cfRule>
  </conditionalFormatting>
  <conditionalFormatting sqref="I44:J44">
    <cfRule type="containsText" dxfId="19" priority="11" operator="containsText" text="FALSE">
      <formula>NOT(ISERROR(SEARCH("FALSE",I44)))</formula>
    </cfRule>
    <cfRule type="containsText" dxfId="18" priority="12" operator="containsText" text="TRUE">
      <formula>NOT(ISERROR(SEARCH("TRUE",I44)))</formula>
    </cfRule>
  </conditionalFormatting>
  <conditionalFormatting sqref="M51">
    <cfRule type="containsText" dxfId="17" priority="9" operator="containsText" text="FALSE">
      <formula>NOT(ISERROR(SEARCH("FALSE",M51)))</formula>
    </cfRule>
    <cfRule type="containsText" dxfId="16" priority="10" operator="containsText" text="TRUE">
      <formula>NOT(ISERROR(SEARCH("TRUE",M51)))</formula>
    </cfRule>
  </conditionalFormatting>
  <conditionalFormatting sqref="M61">
    <cfRule type="containsText" dxfId="15" priority="7" operator="containsText" text="FALSE">
      <formula>NOT(ISERROR(SEARCH("FALSE",M61)))</formula>
    </cfRule>
    <cfRule type="containsText" dxfId="14" priority="8" operator="containsText" text="TRUE">
      <formula>NOT(ISERROR(SEARCH("TRUE",M61)))</formula>
    </cfRule>
  </conditionalFormatting>
  <conditionalFormatting sqref="P61:R61 O62:R62">
    <cfRule type="containsText" dxfId="13" priority="21" operator="containsText" text="FALSE">
      <formula>NOT(ISERROR(SEARCH("FALSE",O61)))</formula>
    </cfRule>
    <cfRule type="containsText" dxfId="12" priority="22" operator="containsText" text="TRUE">
      <formula>NOT(ISERROR(SEARCH("TRUE",O61)))</formula>
    </cfRule>
  </conditionalFormatting>
  <conditionalFormatting sqref="Q9">
    <cfRule type="containsText" dxfId="11" priority="15" operator="containsText" text="FALSE">
      <formula>NOT(ISERROR(SEARCH("FALSE",Q9)))</formula>
    </cfRule>
    <cfRule type="containsText" dxfId="10" priority="16" operator="containsText" text="TRUE">
      <formula>NOT(ISERROR(SEARCH("TRUE",Q9)))</formula>
    </cfRule>
  </conditionalFormatting>
  <conditionalFormatting sqref="Q18">
    <cfRule type="containsText" dxfId="9" priority="13" operator="containsText" text="FALSE">
      <formula>NOT(ISERROR(SEARCH("FALSE",Q18)))</formula>
    </cfRule>
    <cfRule type="containsText" dxfId="8" priority="14" operator="containsText" text="TRUE">
      <formula>NOT(ISERROR(SEARCH("TRUE",Q18)))</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3E74-A144-4414-A536-DD7203B52B74}">
  <sheetPr>
    <tabColor rgb="FFFFC000"/>
  </sheetPr>
  <dimension ref="A1:AC32"/>
  <sheetViews>
    <sheetView zoomScale="80" zoomScaleNormal="80" workbookViewId="0">
      <selection sqref="A1:XFD1048576"/>
    </sheetView>
  </sheetViews>
  <sheetFormatPr defaultRowHeight="12.75" x14ac:dyDescent="0.2"/>
  <cols>
    <col min="1" max="1" width="9" style="42" customWidth="1"/>
    <col min="2" max="2" width="28" style="42" customWidth="1"/>
    <col min="3" max="3" width="11.7109375" style="42" bestFit="1" customWidth="1"/>
    <col min="4" max="4" width="11.85546875" style="42" customWidth="1"/>
    <col min="5" max="5" width="31" style="42" customWidth="1"/>
    <col min="6" max="8" width="12.28515625" style="42" bestFit="1" customWidth="1"/>
    <col min="9" max="9" width="11.42578125" style="42" bestFit="1" customWidth="1"/>
    <col min="10" max="10" width="11.28515625" style="42" customWidth="1"/>
    <col min="11" max="12" width="11.28515625" style="42" bestFit="1" customWidth="1"/>
    <col min="13" max="13" width="10.140625" style="42" bestFit="1" customWidth="1"/>
    <col min="14" max="14" width="12.28515625" style="42" bestFit="1" customWidth="1"/>
    <col min="15" max="20" width="11.28515625" style="42" bestFit="1" customWidth="1"/>
    <col min="21" max="21" width="10.140625" style="42" bestFit="1" customWidth="1"/>
    <col min="22" max="16384" width="9.140625" style="42"/>
  </cols>
  <sheetData>
    <row r="1" spans="1:29" ht="13.5" thickBot="1" x14ac:dyDescent="0.25">
      <c r="F1" s="888" t="s">
        <v>955</v>
      </c>
      <c r="G1" s="889"/>
      <c r="H1" s="889"/>
      <c r="I1" s="889"/>
      <c r="J1" s="889"/>
      <c r="K1" s="889"/>
      <c r="L1" s="889"/>
      <c r="M1" s="889"/>
      <c r="N1" s="889"/>
      <c r="O1" s="890"/>
      <c r="P1" s="403"/>
      <c r="Q1" s="403"/>
      <c r="R1" s="403"/>
      <c r="S1" s="403"/>
      <c r="T1" s="403"/>
      <c r="U1" s="403"/>
    </row>
    <row r="2" spans="1:29" ht="30" customHeight="1" x14ac:dyDescent="0.2">
      <c r="B2" s="320" t="s">
        <v>478</v>
      </c>
      <c r="C2" s="404"/>
      <c r="D2" s="404"/>
      <c r="E2" s="405" t="s">
        <v>965</v>
      </c>
      <c r="F2" s="406">
        <f>K2</f>
        <v>2023</v>
      </c>
      <c r="G2" s="406">
        <f>L2</f>
        <v>2024</v>
      </c>
      <c r="H2" s="406">
        <f>M2</f>
        <v>2025</v>
      </c>
      <c r="I2" s="406" t="str">
        <f>N2</f>
        <v>janv- mars 2025</v>
      </c>
      <c r="J2" s="406" t="str">
        <f>O2</f>
        <v>janv- mars 2026</v>
      </c>
      <c r="K2" s="406">
        <f>'Pro 2'!G212</f>
        <v>2023</v>
      </c>
      <c r="L2" s="406">
        <f>'Pro 2'!H212</f>
        <v>2024</v>
      </c>
      <c r="M2" s="406">
        <f>'Pro 2'!I212</f>
        <v>2025</v>
      </c>
      <c r="N2" s="406" t="str">
        <f>'Pro 2'!J212</f>
        <v>janv- mars 2025</v>
      </c>
      <c r="O2" s="407" t="str">
        <f>'Pro 2'!K212</f>
        <v>janv- mars 2026</v>
      </c>
    </row>
    <row r="3" spans="1:29" ht="13.5" thickBot="1" x14ac:dyDescent="0.25">
      <c r="B3" s="322">
        <f>Intro!D78</f>
        <v>0</v>
      </c>
      <c r="E3" s="333"/>
      <c r="F3" s="408" t="s">
        <v>188</v>
      </c>
      <c r="G3" s="408" t="s">
        <v>188</v>
      </c>
      <c r="H3" s="408" t="s">
        <v>188</v>
      </c>
      <c r="I3" s="408" t="s">
        <v>188</v>
      </c>
      <c r="J3" s="408" t="s">
        <v>188</v>
      </c>
      <c r="K3" s="408" t="s">
        <v>958</v>
      </c>
      <c r="L3" s="408" t="s">
        <v>958</v>
      </c>
      <c r="M3" s="408" t="s">
        <v>958</v>
      </c>
      <c r="N3" s="408" t="s">
        <v>958</v>
      </c>
      <c r="O3" s="409" t="s">
        <v>958</v>
      </c>
    </row>
    <row r="4" spans="1:29" x14ac:dyDescent="0.2">
      <c r="E4" s="333" t="str">
        <f>'Pro 2'!B214</f>
        <v>Provinces de l’Atlantique</v>
      </c>
      <c r="F4" s="337">
        <f t="shared" ref="F4:J8" si="0">F$9*K4*0.01</f>
        <v>0</v>
      </c>
      <c r="G4" s="337">
        <f t="shared" si="0"/>
        <v>0</v>
      </c>
      <c r="H4" s="337">
        <f t="shared" si="0"/>
        <v>0</v>
      </c>
      <c r="I4" s="337">
        <f t="shared" si="0"/>
        <v>0</v>
      </c>
      <c r="J4" s="337">
        <f t="shared" si="0"/>
        <v>0</v>
      </c>
      <c r="K4" s="337">
        <f>'Pro 2'!G214</f>
        <v>0</v>
      </c>
      <c r="L4" s="337">
        <f>'Pro 2'!H214</f>
        <v>0</v>
      </c>
      <c r="M4" s="337">
        <f>'Pro 2'!I214</f>
        <v>0</v>
      </c>
      <c r="N4" s="337">
        <f>'Pro 2'!J214</f>
        <v>0</v>
      </c>
      <c r="O4" s="338">
        <f>'Pro 2'!K214</f>
        <v>0</v>
      </c>
    </row>
    <row r="5" spans="1:29" x14ac:dyDescent="0.2">
      <c r="E5" s="333" t="str">
        <f>'Pro 2'!B215</f>
        <v>Québec et Ontario</v>
      </c>
      <c r="F5" s="337">
        <f t="shared" si="0"/>
        <v>0</v>
      </c>
      <c r="G5" s="337">
        <f t="shared" si="0"/>
        <v>0</v>
      </c>
      <c r="H5" s="337">
        <f t="shared" si="0"/>
        <v>0</v>
      </c>
      <c r="I5" s="337">
        <f t="shared" si="0"/>
        <v>0</v>
      </c>
      <c r="J5" s="337">
        <f t="shared" si="0"/>
        <v>0</v>
      </c>
      <c r="K5" s="337">
        <f>'Pro 2'!G215</f>
        <v>0</v>
      </c>
      <c r="L5" s="337">
        <f>'Pro 2'!H215</f>
        <v>0</v>
      </c>
      <c r="M5" s="337">
        <f>'Pro 2'!I215</f>
        <v>0</v>
      </c>
      <c r="N5" s="337">
        <f>'Pro 2'!J215</f>
        <v>0</v>
      </c>
      <c r="O5" s="338">
        <f>'Pro 2'!K215</f>
        <v>0</v>
      </c>
    </row>
    <row r="6" spans="1:29" x14ac:dyDescent="0.2">
      <c r="E6" s="333" t="str">
        <f>'Pro 2'!B216</f>
        <v xml:space="preserve">Manitoba et Saskatchewan </v>
      </c>
      <c r="F6" s="337">
        <f t="shared" si="0"/>
        <v>0</v>
      </c>
      <c r="G6" s="337">
        <f t="shared" si="0"/>
        <v>0</v>
      </c>
      <c r="H6" s="337">
        <f t="shared" si="0"/>
        <v>0</v>
      </c>
      <c r="I6" s="337">
        <f t="shared" si="0"/>
        <v>0</v>
      </c>
      <c r="J6" s="337">
        <f t="shared" si="0"/>
        <v>0</v>
      </c>
      <c r="K6" s="337">
        <f>'Pro 2'!G216</f>
        <v>0</v>
      </c>
      <c r="L6" s="337">
        <f>'Pro 2'!H216</f>
        <v>0</v>
      </c>
      <c r="M6" s="337">
        <f>'Pro 2'!I216</f>
        <v>0</v>
      </c>
      <c r="N6" s="337">
        <f>'Pro 2'!J216</f>
        <v>0</v>
      </c>
      <c r="O6" s="338">
        <f>'Pro 2'!K216</f>
        <v>0</v>
      </c>
    </row>
    <row r="7" spans="1:29" x14ac:dyDescent="0.2">
      <c r="E7" s="333" t="str">
        <f>'Pro 2'!B217</f>
        <v>Alberta et Colombie-Britannique</v>
      </c>
      <c r="F7" s="337">
        <f t="shared" si="0"/>
        <v>0</v>
      </c>
      <c r="G7" s="337">
        <f t="shared" si="0"/>
        <v>0</v>
      </c>
      <c r="H7" s="337">
        <f t="shared" si="0"/>
        <v>0</v>
      </c>
      <c r="I7" s="337">
        <f t="shared" si="0"/>
        <v>0</v>
      </c>
      <c r="J7" s="337">
        <f t="shared" si="0"/>
        <v>0</v>
      </c>
      <c r="K7" s="337">
        <f>'Pro 2'!G217</f>
        <v>0</v>
      </c>
      <c r="L7" s="337">
        <f>'Pro 2'!H217</f>
        <v>0</v>
      </c>
      <c r="M7" s="337">
        <f>'Pro 2'!I217</f>
        <v>0</v>
      </c>
      <c r="N7" s="337">
        <f>'Pro 2'!J217</f>
        <v>0</v>
      </c>
      <c r="O7" s="338">
        <f>'Pro 2'!K217</f>
        <v>0</v>
      </c>
    </row>
    <row r="8" spans="1:29" ht="13.5" thickBot="1" x14ac:dyDescent="0.25">
      <c r="E8" s="349" t="str">
        <f>'Pro 2'!B218</f>
        <v>Nunavut, Yukon et Territoires du Nord-Ouest</v>
      </c>
      <c r="F8" s="350">
        <f t="shared" si="0"/>
        <v>0</v>
      </c>
      <c r="G8" s="350">
        <f t="shared" si="0"/>
        <v>0</v>
      </c>
      <c r="H8" s="350">
        <f t="shared" si="0"/>
        <v>0</v>
      </c>
      <c r="I8" s="350">
        <f t="shared" si="0"/>
        <v>0</v>
      </c>
      <c r="J8" s="350">
        <f t="shared" si="0"/>
        <v>0</v>
      </c>
      <c r="K8" s="350">
        <f>'Pro 2'!G218</f>
        <v>0</v>
      </c>
      <c r="L8" s="350">
        <f>'Pro 2'!H218</f>
        <v>0</v>
      </c>
      <c r="M8" s="350">
        <f>'Pro 2'!I218</f>
        <v>0</v>
      </c>
      <c r="N8" s="350">
        <f>'Pro 2'!J218</f>
        <v>0</v>
      </c>
      <c r="O8" s="351">
        <f>'Pro 2'!K218</f>
        <v>0</v>
      </c>
    </row>
    <row r="9" spans="1:29" ht="13.5" thickBot="1" x14ac:dyDescent="0.25">
      <c r="E9" s="410" t="s">
        <v>966</v>
      </c>
      <c r="F9" s="411">
        <f>MiniDB!D16</f>
        <v>0</v>
      </c>
      <c r="G9" s="411">
        <f>MiniDB!E16</f>
        <v>0</v>
      </c>
      <c r="H9" s="411">
        <f>MiniDB!F16</f>
        <v>0</v>
      </c>
      <c r="I9" s="411">
        <f>MiniDB!G16</f>
        <v>0</v>
      </c>
      <c r="J9" s="412">
        <f>MiniDB!H16</f>
        <v>0</v>
      </c>
    </row>
    <row r="11" spans="1:29" ht="13.5" thickBot="1" x14ac:dyDescent="0.25"/>
    <row r="12" spans="1:29" ht="13.5" thickBot="1" x14ac:dyDescent="0.25">
      <c r="B12" s="891"/>
      <c r="C12" s="891"/>
      <c r="D12" s="891"/>
      <c r="F12" s="892" t="s">
        <v>955</v>
      </c>
      <c r="G12" s="878"/>
      <c r="H12" s="878"/>
      <c r="I12" s="878"/>
      <c r="J12" s="878"/>
      <c r="K12" s="878"/>
      <c r="L12" s="878"/>
      <c r="M12" s="878"/>
      <c r="N12" s="878"/>
      <c r="O12" s="878"/>
      <c r="P12" s="878"/>
      <c r="Q12" s="878"/>
      <c r="R12" s="878"/>
      <c r="S12" s="878"/>
      <c r="T12" s="878"/>
      <c r="U12" s="878"/>
      <c r="V12" s="893" t="s">
        <v>967</v>
      </c>
      <c r="W12" s="893"/>
      <c r="X12" s="893"/>
      <c r="Y12" s="893"/>
      <c r="Z12" s="893"/>
      <c r="AA12" s="893"/>
      <c r="AB12" s="893"/>
      <c r="AC12" s="894"/>
    </row>
    <row r="13" spans="1:29" ht="40.5" customHeight="1" x14ac:dyDescent="0.2">
      <c r="B13" s="886" t="s">
        <v>968</v>
      </c>
      <c r="C13" s="887"/>
      <c r="D13" s="887"/>
      <c r="E13" s="887"/>
      <c r="F13" s="413" t="str">
        <f>'Pro 2'!E281</f>
        <v>T2 - 2024</v>
      </c>
      <c r="G13" s="414" t="str">
        <f>'Pro 2'!F281</f>
        <v>T3 - 2024</v>
      </c>
      <c r="H13" s="414" t="str">
        <f>'Pro 2'!G281</f>
        <v>T4 - 2024</v>
      </c>
      <c r="I13" s="414" t="str">
        <f>'Pro 2'!H281</f>
        <v>T1 - 2025</v>
      </c>
      <c r="J13" s="414" t="str">
        <f>'Pro 2'!I281</f>
        <v>T2 - 2025</v>
      </c>
      <c r="K13" s="414" t="str">
        <f>'Pro 2'!J281</f>
        <v>T3 - 2025</v>
      </c>
      <c r="L13" s="414" t="str">
        <f>'Pro 2'!K281</f>
        <v>T4 - 2025</v>
      </c>
      <c r="M13" s="415" t="str">
        <f>'Pro 2'!L281</f>
        <v>T1 - 2026</v>
      </c>
      <c r="N13" s="413" t="str">
        <f>F13</f>
        <v>T2 - 2024</v>
      </c>
      <c r="O13" s="414" t="str">
        <f t="shared" ref="O13:U13" si="1">G13</f>
        <v>T3 - 2024</v>
      </c>
      <c r="P13" s="414" t="str">
        <f t="shared" si="1"/>
        <v>T4 - 2024</v>
      </c>
      <c r="Q13" s="414" t="str">
        <f t="shared" si="1"/>
        <v>T1 - 2025</v>
      </c>
      <c r="R13" s="414" t="str">
        <f t="shared" si="1"/>
        <v>T2 - 2025</v>
      </c>
      <c r="S13" s="414" t="str">
        <f t="shared" si="1"/>
        <v>T3 - 2025</v>
      </c>
      <c r="T13" s="414" t="str">
        <f t="shared" si="1"/>
        <v>T4 - 2025</v>
      </c>
      <c r="U13" s="414" t="str">
        <f t="shared" si="1"/>
        <v>T1 - 2026</v>
      </c>
      <c r="V13" s="416" t="str">
        <f>N13</f>
        <v>T2 - 2024</v>
      </c>
      <c r="W13" s="417" t="str">
        <f t="shared" ref="W13:AC13" si="2">O13</f>
        <v>T3 - 2024</v>
      </c>
      <c r="X13" s="417" t="str">
        <f t="shared" si="2"/>
        <v>T4 - 2024</v>
      </c>
      <c r="Y13" s="417" t="str">
        <f t="shared" si="2"/>
        <v>T1 - 2025</v>
      </c>
      <c r="Z13" s="417" t="str">
        <f t="shared" si="2"/>
        <v>T2 - 2025</v>
      </c>
      <c r="AA13" s="417" t="str">
        <f t="shared" si="2"/>
        <v>T3 - 2025</v>
      </c>
      <c r="AB13" s="417" t="str">
        <f t="shared" si="2"/>
        <v>T4 - 2025</v>
      </c>
      <c r="AC13" s="418" t="str">
        <f t="shared" si="2"/>
        <v>T1 - 2026</v>
      </c>
    </row>
    <row r="14" spans="1:29" ht="13.5" thickBot="1" x14ac:dyDescent="0.25">
      <c r="B14" s="419" t="s">
        <v>969</v>
      </c>
      <c r="C14" s="420" t="s">
        <v>482</v>
      </c>
      <c r="D14" s="420" t="s">
        <v>970</v>
      </c>
      <c r="E14" s="420" t="s">
        <v>971</v>
      </c>
      <c r="F14" s="421" t="s">
        <v>958</v>
      </c>
      <c r="G14" s="408" t="s">
        <v>958</v>
      </c>
      <c r="H14" s="408" t="s">
        <v>958</v>
      </c>
      <c r="I14" s="408" t="s">
        <v>958</v>
      </c>
      <c r="J14" s="408" t="s">
        <v>958</v>
      </c>
      <c r="K14" s="408" t="s">
        <v>958</v>
      </c>
      <c r="L14" s="408" t="s">
        <v>958</v>
      </c>
      <c r="M14" s="409" t="s">
        <v>958</v>
      </c>
      <c r="N14" s="421" t="s">
        <v>972</v>
      </c>
      <c r="O14" s="408" t="str">
        <f>N14</f>
        <v>VAL/1000</v>
      </c>
      <c r="P14" s="408" t="str">
        <f t="shared" ref="P14:U14" si="3">O14</f>
        <v>VAL/1000</v>
      </c>
      <c r="Q14" s="408" t="str">
        <f t="shared" si="3"/>
        <v>VAL/1000</v>
      </c>
      <c r="R14" s="408" t="str">
        <f t="shared" si="3"/>
        <v>VAL/1000</v>
      </c>
      <c r="S14" s="408" t="str">
        <f t="shared" si="3"/>
        <v>VAL/1000</v>
      </c>
      <c r="T14" s="408" t="str">
        <f t="shared" si="3"/>
        <v>VAL/1000</v>
      </c>
      <c r="U14" s="408" t="str">
        <f t="shared" si="3"/>
        <v>VAL/1000</v>
      </c>
      <c r="V14" s="422" t="s">
        <v>960</v>
      </c>
      <c r="W14" s="346" t="s">
        <v>960</v>
      </c>
      <c r="X14" s="346" t="s">
        <v>960</v>
      </c>
      <c r="Y14" s="346" t="s">
        <v>960</v>
      </c>
      <c r="Z14" s="346" t="s">
        <v>960</v>
      </c>
      <c r="AA14" s="346" t="s">
        <v>960</v>
      </c>
      <c r="AB14" s="346" t="s">
        <v>960</v>
      </c>
      <c r="AC14" s="423" t="s">
        <v>960</v>
      </c>
    </row>
    <row r="15" spans="1:29" x14ac:dyDescent="0.2">
      <c r="A15" s="320" t="str">
        <f>IF(SUM(F15:U17)&gt;=0.01,"Copy","Don't")</f>
        <v>Don't</v>
      </c>
      <c r="B15" s="329" t="s">
        <v>496</v>
      </c>
      <c r="C15" s="43">
        <v>0</v>
      </c>
      <c r="D15" s="43" t="s">
        <v>973</v>
      </c>
      <c r="E15" s="43" t="s">
        <v>974</v>
      </c>
      <c r="F15" s="424">
        <f>'Pro 2'!E284</f>
        <v>0</v>
      </c>
      <c r="G15" s="425">
        <f>'Pro 2'!F284</f>
        <v>0</v>
      </c>
      <c r="H15" s="425">
        <f>'Pro 2'!G284</f>
        <v>0</v>
      </c>
      <c r="I15" s="425">
        <f>'Pro 2'!H284</f>
        <v>0</v>
      </c>
      <c r="J15" s="425">
        <f>'Pro 2'!I284</f>
        <v>0</v>
      </c>
      <c r="K15" s="425">
        <f>'Pro 2'!J284</f>
        <v>0</v>
      </c>
      <c r="L15" s="425">
        <f>'Pro 2'!K284</f>
        <v>0</v>
      </c>
      <c r="M15" s="426">
        <f>'Pro 2'!L284</f>
        <v>0</v>
      </c>
      <c r="N15" s="424">
        <f>'Pro 2'!E285/1000</f>
        <v>0</v>
      </c>
      <c r="O15" s="425">
        <f>'Pro 2'!F285/1000</f>
        <v>0</v>
      </c>
      <c r="P15" s="425">
        <f>'Pro 2'!G285/1000</f>
        <v>0</v>
      </c>
      <c r="Q15" s="425">
        <f>'Pro 2'!H285/1000</f>
        <v>0</v>
      </c>
      <c r="R15" s="425">
        <f>'Pro 2'!I285/1000</f>
        <v>0</v>
      </c>
      <c r="S15" s="425">
        <f>'Pro 2'!J285/1000</f>
        <v>0</v>
      </c>
      <c r="T15" s="425">
        <f>'Pro 2'!K285/1000</f>
        <v>0</v>
      </c>
      <c r="U15" s="426">
        <f>'Pro 2'!L285/1000</f>
        <v>0</v>
      </c>
      <c r="V15" s="427">
        <f>(IF(ISERROR(N15/F15),0,N15/F15))*1000</f>
        <v>0</v>
      </c>
      <c r="W15" s="428">
        <f t="shared" ref="W15:AC17" si="4">(IF(ISERROR(O15/G15),0,O15/G15))*1000</f>
        <v>0</v>
      </c>
      <c r="X15" s="428">
        <f t="shared" si="4"/>
        <v>0</v>
      </c>
      <c r="Y15" s="428">
        <f t="shared" si="4"/>
        <v>0</v>
      </c>
      <c r="Z15" s="428">
        <f t="shared" si="4"/>
        <v>0</v>
      </c>
      <c r="AA15" s="428">
        <f t="shared" si="4"/>
        <v>0</v>
      </c>
      <c r="AB15" s="428">
        <f t="shared" si="4"/>
        <v>0</v>
      </c>
      <c r="AC15" s="429">
        <f t="shared" si="4"/>
        <v>0</v>
      </c>
    </row>
    <row r="16" spans="1:29" x14ac:dyDescent="0.2">
      <c r="A16" s="430" t="str">
        <f>A15</f>
        <v>Don't</v>
      </c>
      <c r="B16" s="333" t="str">
        <f>B15</f>
        <v>DOM</v>
      </c>
      <c r="C16" s="42">
        <f>C15</f>
        <v>0</v>
      </c>
      <c r="D16" s="42" t="str">
        <f>D15</f>
        <v>DOM Sls</v>
      </c>
      <c r="E16" s="42" t="s">
        <v>975</v>
      </c>
      <c r="F16" s="431">
        <f>'Pro 2'!E289</f>
        <v>0</v>
      </c>
      <c r="G16" s="432">
        <f>'Pro 2'!F289</f>
        <v>0</v>
      </c>
      <c r="H16" s="432">
        <f>'Pro 2'!G289</f>
        <v>0</v>
      </c>
      <c r="I16" s="432">
        <f>'Pro 2'!H289</f>
        <v>0</v>
      </c>
      <c r="J16" s="432">
        <f>'Pro 2'!I289</f>
        <v>0</v>
      </c>
      <c r="K16" s="432">
        <f>'Pro 2'!J289</f>
        <v>0</v>
      </c>
      <c r="L16" s="432">
        <f>'Pro 2'!K289</f>
        <v>0</v>
      </c>
      <c r="M16" s="433">
        <f>'Pro 2'!L289</f>
        <v>0</v>
      </c>
      <c r="N16" s="431">
        <f>'Pro 2'!E290/1000</f>
        <v>0</v>
      </c>
      <c r="O16" s="432">
        <f>'Pro 2'!F290/1000</f>
        <v>0</v>
      </c>
      <c r="P16" s="432">
        <f>'Pro 2'!G290/1000</f>
        <v>0</v>
      </c>
      <c r="Q16" s="432">
        <f>'Pro 2'!H290/1000</f>
        <v>0</v>
      </c>
      <c r="R16" s="432">
        <f>'Pro 2'!I290/1000</f>
        <v>0</v>
      </c>
      <c r="S16" s="432">
        <f>'Pro 2'!J290/1000</f>
        <v>0</v>
      </c>
      <c r="T16" s="432">
        <f>'Pro 2'!K290/1000</f>
        <v>0</v>
      </c>
      <c r="U16" s="433">
        <f>'Pro 2'!L290/1000</f>
        <v>0</v>
      </c>
      <c r="V16" s="434">
        <f t="shared" ref="V16:V17" si="5">(IF(ISERROR(N16/F16),0,N16/F16))*1000</f>
        <v>0</v>
      </c>
      <c r="W16" s="435">
        <f t="shared" si="4"/>
        <v>0</v>
      </c>
      <c r="X16" s="435">
        <f t="shared" si="4"/>
        <v>0</v>
      </c>
      <c r="Y16" s="435">
        <f t="shared" si="4"/>
        <v>0</v>
      </c>
      <c r="Z16" s="435">
        <f t="shared" si="4"/>
        <v>0</v>
      </c>
      <c r="AA16" s="435">
        <f t="shared" si="4"/>
        <v>0</v>
      </c>
      <c r="AB16" s="435">
        <f t="shared" si="4"/>
        <v>0</v>
      </c>
      <c r="AC16" s="436">
        <f t="shared" si="4"/>
        <v>0</v>
      </c>
    </row>
    <row r="17" spans="1:29" ht="13.5" thickBot="1" x14ac:dyDescent="0.25">
      <c r="A17" s="437" t="str">
        <f>A16</f>
        <v>Don't</v>
      </c>
      <c r="B17" s="349" t="str">
        <f t="shared" ref="B17:D17" si="6">B16</f>
        <v>DOM</v>
      </c>
      <c r="C17" s="44">
        <f t="shared" si="6"/>
        <v>0</v>
      </c>
      <c r="D17" s="44" t="str">
        <f t="shared" si="6"/>
        <v>DOM Sls</v>
      </c>
      <c r="E17" s="44" t="s">
        <v>976</v>
      </c>
      <c r="F17" s="438">
        <f>'Pro 2'!E294</f>
        <v>0</v>
      </c>
      <c r="G17" s="439">
        <f>'Pro 2'!F294</f>
        <v>0</v>
      </c>
      <c r="H17" s="439">
        <f>'Pro 2'!G294</f>
        <v>0</v>
      </c>
      <c r="I17" s="439">
        <f>'Pro 2'!H294</f>
        <v>0</v>
      </c>
      <c r="J17" s="439">
        <f>'Pro 2'!I294</f>
        <v>0</v>
      </c>
      <c r="K17" s="439">
        <f>'Pro 2'!J294</f>
        <v>0</v>
      </c>
      <c r="L17" s="439">
        <f>'Pro 2'!K294</f>
        <v>0</v>
      </c>
      <c r="M17" s="440">
        <f>'Pro 2'!L294</f>
        <v>0</v>
      </c>
      <c r="N17" s="438">
        <f>'Pro 2'!E295/1000</f>
        <v>0</v>
      </c>
      <c r="O17" s="439">
        <f>'Pro 2'!F295/1000</f>
        <v>0</v>
      </c>
      <c r="P17" s="439">
        <f>'Pro 2'!G295/1000</f>
        <v>0</v>
      </c>
      <c r="Q17" s="439">
        <f>'Pro 2'!H295/1000</f>
        <v>0</v>
      </c>
      <c r="R17" s="439">
        <f>'Pro 2'!I295/1000</f>
        <v>0</v>
      </c>
      <c r="S17" s="439">
        <f>'Pro 2'!J295/1000</f>
        <v>0</v>
      </c>
      <c r="T17" s="439">
        <f>'Pro 2'!K295/1000</f>
        <v>0</v>
      </c>
      <c r="U17" s="440">
        <f>'Pro 2'!L295/1000</f>
        <v>0</v>
      </c>
      <c r="V17" s="441">
        <f t="shared" si="5"/>
        <v>0</v>
      </c>
      <c r="W17" s="442">
        <f t="shared" si="4"/>
        <v>0</v>
      </c>
      <c r="X17" s="442">
        <f t="shared" si="4"/>
        <v>0</v>
      </c>
      <c r="Y17" s="442">
        <f t="shared" si="4"/>
        <v>0</v>
      </c>
      <c r="Z17" s="442">
        <f t="shared" si="4"/>
        <v>0</v>
      </c>
      <c r="AA17" s="442">
        <f t="shared" si="4"/>
        <v>0</v>
      </c>
      <c r="AB17" s="442">
        <f t="shared" si="4"/>
        <v>0</v>
      </c>
      <c r="AC17" s="443">
        <f t="shared" si="4"/>
        <v>0</v>
      </c>
    </row>
    <row r="18" spans="1:29" x14ac:dyDescent="0.2">
      <c r="E18" s="333" t="s">
        <v>977</v>
      </c>
      <c r="F18" s="337">
        <f t="shared" ref="F18:U18" si="7">SUMIF($D$15:$D$17,$D$15,F$15:F$17)</f>
        <v>0</v>
      </c>
      <c r="G18" s="337">
        <f t="shared" si="7"/>
        <v>0</v>
      </c>
      <c r="H18" s="337">
        <f t="shared" si="7"/>
        <v>0</v>
      </c>
      <c r="I18" s="337">
        <f t="shared" si="7"/>
        <v>0</v>
      </c>
      <c r="J18" s="337">
        <f t="shared" si="7"/>
        <v>0</v>
      </c>
      <c r="K18" s="337">
        <f t="shared" si="7"/>
        <v>0</v>
      </c>
      <c r="L18" s="337">
        <f t="shared" si="7"/>
        <v>0</v>
      </c>
      <c r="M18" s="337">
        <f t="shared" si="7"/>
        <v>0</v>
      </c>
      <c r="N18" s="337">
        <f t="shared" si="7"/>
        <v>0</v>
      </c>
      <c r="O18" s="337">
        <f t="shared" si="7"/>
        <v>0</v>
      </c>
      <c r="P18" s="337">
        <f t="shared" si="7"/>
        <v>0</v>
      </c>
      <c r="Q18" s="337">
        <f t="shared" si="7"/>
        <v>0</v>
      </c>
      <c r="R18" s="337">
        <f t="shared" si="7"/>
        <v>0</v>
      </c>
      <c r="S18" s="337">
        <f t="shared" si="7"/>
        <v>0</v>
      </c>
      <c r="T18" s="337">
        <f t="shared" si="7"/>
        <v>0</v>
      </c>
      <c r="U18" s="338">
        <f t="shared" si="7"/>
        <v>0</v>
      </c>
    </row>
    <row r="19" spans="1:29" x14ac:dyDescent="0.2">
      <c r="E19" s="333"/>
      <c r="F19" s="337">
        <f>SUM('Pro 2'!E284,'Pro 2'!E289,'Pro 2'!E294)</f>
        <v>0</v>
      </c>
      <c r="G19" s="337">
        <f>SUM('Pro 2'!F284,'Pro 2'!F289,'Pro 2'!F294)</f>
        <v>0</v>
      </c>
      <c r="H19" s="337">
        <f>SUM('Pro 2'!G284,'Pro 2'!G289,'Pro 2'!G294)</f>
        <v>0</v>
      </c>
      <c r="I19" s="337">
        <f>SUM('Pro 2'!H284,'Pro 2'!H289,'Pro 2'!H294)</f>
        <v>0</v>
      </c>
      <c r="J19" s="337">
        <f>SUM('Pro 2'!I284,'Pro 2'!I289,'Pro 2'!I294)</f>
        <v>0</v>
      </c>
      <c r="K19" s="337">
        <f>SUM('Pro 2'!J284,'Pro 2'!J289,'Pro 2'!J294)</f>
        <v>0</v>
      </c>
      <c r="L19" s="337">
        <f>SUM('Pro 2'!K284,'Pro 2'!K289,'Pro 2'!K294)</f>
        <v>0</v>
      </c>
      <c r="M19" s="337">
        <f>SUM('Pro 2'!L284,'Pro 2'!L289,'Pro 2'!L294)</f>
        <v>0</v>
      </c>
      <c r="N19" s="337">
        <f>SUM('Pro 2'!E285,'Pro 2'!E290,'Pro 2'!E295)/1000</f>
        <v>0</v>
      </c>
      <c r="O19" s="337">
        <f>SUM('Pro 2'!F285,'Pro 2'!F290,'Pro 2'!F295)/1000</f>
        <v>0</v>
      </c>
      <c r="P19" s="337">
        <f>SUM('Pro 2'!G285,'Pro 2'!G290,'Pro 2'!G295)/1000</f>
        <v>0</v>
      </c>
      <c r="Q19" s="337">
        <f>SUM('Pro 2'!H285,'Pro 2'!H290,'Pro 2'!H295)/1000</f>
        <v>0</v>
      </c>
      <c r="R19" s="337">
        <f>SUM('Pro 2'!I285,'Pro 2'!I290,'Pro 2'!I295)/1000</f>
        <v>0</v>
      </c>
      <c r="S19" s="337">
        <f>SUM('Pro 2'!J285,'Pro 2'!J290,'Pro 2'!J295)/1000</f>
        <v>0</v>
      </c>
      <c r="T19" s="337">
        <f>SUM('Pro 2'!K285,'Pro 2'!K290,'Pro 2'!K295)/1000</f>
        <v>0</v>
      </c>
      <c r="U19" s="338">
        <f>SUM('Pro 2'!L285,'Pro 2'!L290,'Pro 2'!L295)/1000</f>
        <v>0</v>
      </c>
    </row>
    <row r="20" spans="1:29" ht="13.5" thickBot="1" x14ac:dyDescent="0.25">
      <c r="E20" s="349"/>
      <c r="F20" s="343" t="b">
        <f>F18=F19</f>
        <v>1</v>
      </c>
      <c r="G20" s="343" t="b">
        <f t="shared" ref="G20:U20" si="8">G18=G19</f>
        <v>1</v>
      </c>
      <c r="H20" s="343" t="b">
        <f t="shared" si="8"/>
        <v>1</v>
      </c>
      <c r="I20" s="343" t="b">
        <f t="shared" si="8"/>
        <v>1</v>
      </c>
      <c r="J20" s="343" t="b">
        <f t="shared" si="8"/>
        <v>1</v>
      </c>
      <c r="K20" s="343" t="b">
        <f t="shared" si="8"/>
        <v>1</v>
      </c>
      <c r="L20" s="343" t="b">
        <f t="shared" si="8"/>
        <v>1</v>
      </c>
      <c r="M20" s="343" t="b">
        <f t="shared" si="8"/>
        <v>1</v>
      </c>
      <c r="N20" s="343" t="b">
        <f t="shared" si="8"/>
        <v>1</v>
      </c>
      <c r="O20" s="343" t="b">
        <f t="shared" si="8"/>
        <v>1</v>
      </c>
      <c r="P20" s="343" t="b">
        <f t="shared" si="8"/>
        <v>1</v>
      </c>
      <c r="Q20" s="343" t="b">
        <f t="shared" si="8"/>
        <v>1</v>
      </c>
      <c r="R20" s="343" t="b">
        <f t="shared" si="8"/>
        <v>1</v>
      </c>
      <c r="S20" s="343" t="b">
        <f t="shared" si="8"/>
        <v>1</v>
      </c>
      <c r="T20" s="343" t="b">
        <f t="shared" si="8"/>
        <v>1</v>
      </c>
      <c r="U20" s="371" t="b">
        <f t="shared" si="8"/>
        <v>1</v>
      </c>
    </row>
    <row r="21" spans="1:29" ht="13.5" thickBot="1" x14ac:dyDescent="0.25"/>
    <row r="22" spans="1:29" ht="13.5" thickBot="1" x14ac:dyDescent="0.25">
      <c r="B22" s="891"/>
      <c r="C22" s="891"/>
      <c r="D22" s="891"/>
      <c r="E22" s="888" t="s">
        <v>955</v>
      </c>
      <c r="F22" s="889"/>
      <c r="G22" s="889"/>
      <c r="H22" s="889"/>
      <c r="I22" s="889"/>
      <c r="J22" s="889"/>
      <c r="K22" s="889"/>
      <c r="L22" s="889"/>
      <c r="M22" s="889"/>
      <c r="N22" s="889"/>
      <c r="O22" s="889"/>
      <c r="P22" s="889"/>
      <c r="Q22" s="889"/>
      <c r="R22" s="889"/>
      <c r="S22" s="889"/>
      <c r="T22" s="889"/>
      <c r="U22" s="890"/>
      <c r="V22" s="893" t="s">
        <v>967</v>
      </c>
      <c r="W22" s="893"/>
      <c r="X22" s="893"/>
      <c r="Y22" s="893"/>
      <c r="Z22" s="893"/>
      <c r="AA22" s="893"/>
      <c r="AB22" s="893"/>
      <c r="AC22" s="894"/>
    </row>
    <row r="23" spans="1:29" ht="37.5" customHeight="1" x14ac:dyDescent="0.2">
      <c r="B23" s="886" t="s">
        <v>978</v>
      </c>
      <c r="C23" s="887"/>
      <c r="D23" s="887"/>
      <c r="E23" s="887"/>
      <c r="F23" s="413" t="str">
        <f>'Pro 2'!E237</f>
        <v>T2 - 2024</v>
      </c>
      <c r="G23" s="414" t="str">
        <f>'Pro 2'!F237</f>
        <v>T3 - 2024</v>
      </c>
      <c r="H23" s="414" t="str">
        <f>'Pro 2'!G237</f>
        <v>T4 - 2024</v>
      </c>
      <c r="I23" s="414" t="str">
        <f>'Pro 2'!H237</f>
        <v>T1 - 2025</v>
      </c>
      <c r="J23" s="414" t="str">
        <f>'Pro 2'!I237</f>
        <v>T2 - 2025</v>
      </c>
      <c r="K23" s="414" t="str">
        <f>'Pro 2'!J237</f>
        <v>T3 - 2025</v>
      </c>
      <c r="L23" s="414" t="str">
        <f>'Pro 2'!K237</f>
        <v>T4 - 2025</v>
      </c>
      <c r="M23" s="415" t="str">
        <f>'Pro 2'!L237</f>
        <v>T1 - 2026</v>
      </c>
      <c r="N23" s="413" t="str">
        <f>F23</f>
        <v>T2 - 2024</v>
      </c>
      <c r="O23" s="414" t="str">
        <f t="shared" ref="O23:U23" si="9">G23</f>
        <v>T3 - 2024</v>
      </c>
      <c r="P23" s="414" t="str">
        <f t="shared" si="9"/>
        <v>T4 - 2024</v>
      </c>
      <c r="Q23" s="414" t="str">
        <f t="shared" si="9"/>
        <v>T1 - 2025</v>
      </c>
      <c r="R23" s="414" t="str">
        <f t="shared" si="9"/>
        <v>T2 - 2025</v>
      </c>
      <c r="S23" s="414" t="str">
        <f t="shared" si="9"/>
        <v>T3 - 2025</v>
      </c>
      <c r="T23" s="414" t="str">
        <f t="shared" si="9"/>
        <v>T4 - 2025</v>
      </c>
      <c r="U23" s="414" t="str">
        <f t="shared" si="9"/>
        <v>T1 - 2026</v>
      </c>
      <c r="V23" s="416" t="str">
        <f>N23</f>
        <v>T2 - 2024</v>
      </c>
      <c r="W23" s="417" t="str">
        <f t="shared" ref="W23:AC23" si="10">O23</f>
        <v>T3 - 2024</v>
      </c>
      <c r="X23" s="417" t="str">
        <f t="shared" si="10"/>
        <v>T4 - 2024</v>
      </c>
      <c r="Y23" s="417" t="str">
        <f t="shared" si="10"/>
        <v>T1 - 2025</v>
      </c>
      <c r="Z23" s="417" t="str">
        <f t="shared" si="10"/>
        <v>T2 - 2025</v>
      </c>
      <c r="AA23" s="417" t="str">
        <f t="shared" si="10"/>
        <v>T3 - 2025</v>
      </c>
      <c r="AB23" s="417" t="str">
        <f t="shared" si="10"/>
        <v>T4 - 2025</v>
      </c>
      <c r="AC23" s="418" t="str">
        <f t="shared" si="10"/>
        <v>T1 - 2026</v>
      </c>
    </row>
    <row r="24" spans="1:29" ht="13.5" thickBot="1" x14ac:dyDescent="0.25">
      <c r="B24" s="419" t="s">
        <v>969</v>
      </c>
      <c r="C24" s="420" t="s">
        <v>482</v>
      </c>
      <c r="D24" s="420" t="s">
        <v>979</v>
      </c>
      <c r="F24" s="421" t="s">
        <v>958</v>
      </c>
      <c r="G24" s="408" t="s">
        <v>958</v>
      </c>
      <c r="H24" s="408" t="s">
        <v>958</v>
      </c>
      <c r="I24" s="408" t="s">
        <v>958</v>
      </c>
      <c r="J24" s="408" t="s">
        <v>958</v>
      </c>
      <c r="K24" s="408" t="s">
        <v>958</v>
      </c>
      <c r="L24" s="408" t="s">
        <v>958</v>
      </c>
      <c r="M24" s="409" t="s">
        <v>958</v>
      </c>
      <c r="N24" s="421" t="s">
        <v>972</v>
      </c>
      <c r="O24" s="408" t="str">
        <f>N24</f>
        <v>VAL/1000</v>
      </c>
      <c r="P24" s="408" t="str">
        <f t="shared" ref="P24:U24" si="11">O24</f>
        <v>VAL/1000</v>
      </c>
      <c r="Q24" s="408" t="str">
        <f t="shared" si="11"/>
        <v>VAL/1000</v>
      </c>
      <c r="R24" s="408" t="str">
        <f t="shared" si="11"/>
        <v>VAL/1000</v>
      </c>
      <c r="S24" s="408" t="str">
        <f t="shared" si="11"/>
        <v>VAL/1000</v>
      </c>
      <c r="T24" s="408" t="str">
        <f t="shared" si="11"/>
        <v>VAL/1000</v>
      </c>
      <c r="U24" s="408" t="str">
        <f t="shared" si="11"/>
        <v>VAL/1000</v>
      </c>
      <c r="V24" s="422" t="s">
        <v>960</v>
      </c>
      <c r="W24" s="346" t="s">
        <v>960</v>
      </c>
      <c r="X24" s="346" t="s">
        <v>960</v>
      </c>
      <c r="Y24" s="346" t="s">
        <v>960</v>
      </c>
      <c r="Z24" s="346" t="s">
        <v>960</v>
      </c>
      <c r="AA24" s="346" t="s">
        <v>960</v>
      </c>
      <c r="AB24" s="346" t="s">
        <v>960</v>
      </c>
      <c r="AC24" s="423" t="s">
        <v>960</v>
      </c>
    </row>
    <row r="25" spans="1:29" x14ac:dyDescent="0.2">
      <c r="A25" s="320" t="str">
        <f>IF(SUM(F25:U29)&gt;=0.01,"Copy","Don't")</f>
        <v>Don't</v>
      </c>
      <c r="B25" s="329" t="s">
        <v>496</v>
      </c>
      <c r="C25" s="43">
        <v>0</v>
      </c>
      <c r="D25" s="43" t="str">
        <f>'Pro 2'!B227</f>
        <v>Client 1</v>
      </c>
      <c r="E25" s="43">
        <f>'Pro 2'!C227</f>
        <v>0</v>
      </c>
      <c r="F25" s="424">
        <f>'Pro 2'!E239</f>
        <v>0</v>
      </c>
      <c r="G25" s="425">
        <f>'Pro 2'!F239</f>
        <v>0</v>
      </c>
      <c r="H25" s="425">
        <f>'Pro 2'!G239</f>
        <v>0</v>
      </c>
      <c r="I25" s="425">
        <f>'Pro 2'!H239</f>
        <v>0</v>
      </c>
      <c r="J25" s="425">
        <f>'Pro 2'!I239</f>
        <v>0</v>
      </c>
      <c r="K25" s="425">
        <f>'Pro 2'!J239</f>
        <v>0</v>
      </c>
      <c r="L25" s="425">
        <f>'Pro 2'!K239</f>
        <v>0</v>
      </c>
      <c r="M25" s="426">
        <f>'Pro 2'!L239</f>
        <v>0</v>
      </c>
      <c r="N25" s="424">
        <f>'Pro 2'!E240/1000</f>
        <v>0</v>
      </c>
      <c r="O25" s="425">
        <f>'Pro 2'!F240/1000</f>
        <v>0</v>
      </c>
      <c r="P25" s="425">
        <f>'Pro 2'!G240/1000</f>
        <v>0</v>
      </c>
      <c r="Q25" s="425">
        <f>'Pro 2'!H240/1000</f>
        <v>0</v>
      </c>
      <c r="R25" s="425">
        <f>'Pro 2'!I240/1000</f>
        <v>0</v>
      </c>
      <c r="S25" s="425">
        <f>'Pro 2'!J240/1000</f>
        <v>0</v>
      </c>
      <c r="T25" s="425">
        <f>'Pro 2'!K240/1000</f>
        <v>0</v>
      </c>
      <c r="U25" s="425">
        <f>'Pro 2'!L240/1000</f>
        <v>0</v>
      </c>
      <c r="V25" s="427">
        <f>(IF(ISERROR(N25/F25),0,N25/F25))*1000</f>
        <v>0</v>
      </c>
      <c r="W25" s="428">
        <f t="shared" ref="W25:AC29" si="12">(IF(ISERROR(O25/G25),0,O25/G25))*1000</f>
        <v>0</v>
      </c>
      <c r="X25" s="428">
        <f t="shared" si="12"/>
        <v>0</v>
      </c>
      <c r="Y25" s="428">
        <f t="shared" si="12"/>
        <v>0</v>
      </c>
      <c r="Z25" s="428">
        <f t="shared" si="12"/>
        <v>0</v>
      </c>
      <c r="AA25" s="428">
        <f t="shared" si="12"/>
        <v>0</v>
      </c>
      <c r="AB25" s="428">
        <f t="shared" si="12"/>
        <v>0</v>
      </c>
      <c r="AC25" s="429">
        <f t="shared" si="12"/>
        <v>0</v>
      </c>
    </row>
    <row r="26" spans="1:29" x14ac:dyDescent="0.2">
      <c r="A26" s="430" t="str">
        <f>A25</f>
        <v>Don't</v>
      </c>
      <c r="B26" s="333" t="str">
        <f t="shared" ref="B26:C29" si="13">B25</f>
        <v>DOM</v>
      </c>
      <c r="C26" s="42">
        <f t="shared" si="13"/>
        <v>0</v>
      </c>
      <c r="D26" s="42" t="str">
        <f>'Pro 2'!B228</f>
        <v>Client 2</v>
      </c>
      <c r="E26" s="42">
        <f>'Pro 2'!C228</f>
        <v>0</v>
      </c>
      <c r="F26" s="431">
        <f>'Pro 2'!E243</f>
        <v>0</v>
      </c>
      <c r="G26" s="432">
        <f>'Pro 2'!F243</f>
        <v>0</v>
      </c>
      <c r="H26" s="432">
        <f>'Pro 2'!G243</f>
        <v>0</v>
      </c>
      <c r="I26" s="432">
        <f>'Pro 2'!H243</f>
        <v>0</v>
      </c>
      <c r="J26" s="432">
        <f>'Pro 2'!I243</f>
        <v>0</v>
      </c>
      <c r="K26" s="432">
        <f>'Pro 2'!J243</f>
        <v>0</v>
      </c>
      <c r="L26" s="432">
        <f>'Pro 2'!K243</f>
        <v>0</v>
      </c>
      <c r="M26" s="433">
        <f>'Pro 2'!L243</f>
        <v>0</v>
      </c>
      <c r="N26" s="431">
        <f>'Pro 2'!E244/1000</f>
        <v>0</v>
      </c>
      <c r="O26" s="432">
        <f>'Pro 2'!F244/1000</f>
        <v>0</v>
      </c>
      <c r="P26" s="432">
        <f>'Pro 2'!G244/1000</f>
        <v>0</v>
      </c>
      <c r="Q26" s="432">
        <f>'Pro 2'!H244/1000</f>
        <v>0</v>
      </c>
      <c r="R26" s="432">
        <f>'Pro 2'!I244/1000</f>
        <v>0</v>
      </c>
      <c r="S26" s="432">
        <f>'Pro 2'!J244/1000</f>
        <v>0</v>
      </c>
      <c r="T26" s="432">
        <f>'Pro 2'!K244/1000</f>
        <v>0</v>
      </c>
      <c r="U26" s="432">
        <f>'Pro 2'!L244/1000</f>
        <v>0</v>
      </c>
      <c r="V26" s="434">
        <f t="shared" ref="V26:V29" si="14">(IF(ISERROR(N26/F26),0,N26/F26))*1000</f>
        <v>0</v>
      </c>
      <c r="W26" s="435">
        <f t="shared" si="12"/>
        <v>0</v>
      </c>
      <c r="X26" s="435">
        <f t="shared" si="12"/>
        <v>0</v>
      </c>
      <c r="Y26" s="435">
        <f t="shared" si="12"/>
        <v>0</v>
      </c>
      <c r="Z26" s="435">
        <f t="shared" si="12"/>
        <v>0</v>
      </c>
      <c r="AA26" s="435">
        <f t="shared" si="12"/>
        <v>0</v>
      </c>
      <c r="AB26" s="435">
        <f t="shared" si="12"/>
        <v>0</v>
      </c>
      <c r="AC26" s="436">
        <f t="shared" si="12"/>
        <v>0</v>
      </c>
    </row>
    <row r="27" spans="1:29" x14ac:dyDescent="0.2">
      <c r="A27" s="430" t="str">
        <f t="shared" ref="A27:A29" si="15">A26</f>
        <v>Don't</v>
      </c>
      <c r="B27" s="333" t="str">
        <f t="shared" si="13"/>
        <v>DOM</v>
      </c>
      <c r="C27" s="42">
        <f t="shared" si="13"/>
        <v>0</v>
      </c>
      <c r="D27" s="42" t="str">
        <f>'Pro 2'!B229</f>
        <v>Client 3</v>
      </c>
      <c r="E27" s="42">
        <f>'Pro 2'!C229</f>
        <v>0</v>
      </c>
      <c r="F27" s="444">
        <f>'Pro 2'!E247</f>
        <v>0</v>
      </c>
      <c r="G27" s="445">
        <f>'Pro 2'!F247</f>
        <v>0</v>
      </c>
      <c r="H27" s="445">
        <f>'Pro 2'!G247</f>
        <v>0</v>
      </c>
      <c r="I27" s="445">
        <f>'Pro 2'!H247</f>
        <v>0</v>
      </c>
      <c r="J27" s="445">
        <f>'Pro 2'!I247</f>
        <v>0</v>
      </c>
      <c r="K27" s="445">
        <f>'Pro 2'!J247</f>
        <v>0</v>
      </c>
      <c r="L27" s="445">
        <f>'Pro 2'!K247</f>
        <v>0</v>
      </c>
      <c r="M27" s="446">
        <f>'Pro 2'!L247</f>
        <v>0</v>
      </c>
      <c r="N27" s="444">
        <f>'Pro 2'!E248/1000</f>
        <v>0</v>
      </c>
      <c r="O27" s="445">
        <f>'Pro 2'!F248/1000</f>
        <v>0</v>
      </c>
      <c r="P27" s="445">
        <f>'Pro 2'!G248/1000</f>
        <v>0</v>
      </c>
      <c r="Q27" s="445">
        <f>'Pro 2'!H248/1000</f>
        <v>0</v>
      </c>
      <c r="R27" s="445">
        <f>'Pro 2'!I248/1000</f>
        <v>0</v>
      </c>
      <c r="S27" s="445">
        <f>'Pro 2'!J248/1000</f>
        <v>0</v>
      </c>
      <c r="T27" s="445">
        <f>'Pro 2'!K248/1000</f>
        <v>0</v>
      </c>
      <c r="U27" s="445">
        <f>'Pro 2'!L248/1000</f>
        <v>0</v>
      </c>
      <c r="V27" s="434">
        <f t="shared" si="14"/>
        <v>0</v>
      </c>
      <c r="W27" s="435">
        <f t="shared" si="12"/>
        <v>0</v>
      </c>
      <c r="X27" s="435">
        <f t="shared" si="12"/>
        <v>0</v>
      </c>
      <c r="Y27" s="435">
        <f t="shared" si="12"/>
        <v>0</v>
      </c>
      <c r="Z27" s="435">
        <f t="shared" si="12"/>
        <v>0</v>
      </c>
      <c r="AA27" s="435">
        <f t="shared" si="12"/>
        <v>0</v>
      </c>
      <c r="AB27" s="435">
        <f t="shared" si="12"/>
        <v>0</v>
      </c>
      <c r="AC27" s="436">
        <f t="shared" si="12"/>
        <v>0</v>
      </c>
    </row>
    <row r="28" spans="1:29" x14ac:dyDescent="0.2">
      <c r="A28" s="430" t="str">
        <f t="shared" si="15"/>
        <v>Don't</v>
      </c>
      <c r="B28" s="333" t="str">
        <f t="shared" si="13"/>
        <v>DOM</v>
      </c>
      <c r="C28" s="42">
        <f t="shared" si="13"/>
        <v>0</v>
      </c>
      <c r="D28" s="42" t="str">
        <f>'Pro 2'!B230</f>
        <v>Client 4</v>
      </c>
      <c r="E28" s="42">
        <f>'Pro 2'!C230</f>
        <v>0</v>
      </c>
      <c r="F28" s="431">
        <f>'Pro 2'!E251</f>
        <v>0</v>
      </c>
      <c r="G28" s="432">
        <f>'Pro 2'!F251</f>
        <v>0</v>
      </c>
      <c r="H28" s="432">
        <f>'Pro 2'!G251</f>
        <v>0</v>
      </c>
      <c r="I28" s="432">
        <f>'Pro 2'!H251</f>
        <v>0</v>
      </c>
      <c r="J28" s="432">
        <f>'Pro 2'!I251</f>
        <v>0</v>
      </c>
      <c r="K28" s="432">
        <f>'Pro 2'!J251</f>
        <v>0</v>
      </c>
      <c r="L28" s="432">
        <f>'Pro 2'!K251</f>
        <v>0</v>
      </c>
      <c r="M28" s="433">
        <f>'Pro 2'!L251</f>
        <v>0</v>
      </c>
      <c r="N28" s="431">
        <f>'Pro 2'!E252/1000</f>
        <v>0</v>
      </c>
      <c r="O28" s="432">
        <f>'Pro 2'!F252/1000</f>
        <v>0</v>
      </c>
      <c r="P28" s="432">
        <f>'Pro 2'!G252/1000</f>
        <v>0</v>
      </c>
      <c r="Q28" s="432">
        <f>'Pro 2'!H252/1000</f>
        <v>0</v>
      </c>
      <c r="R28" s="432">
        <f>'Pro 2'!I252/1000</f>
        <v>0</v>
      </c>
      <c r="S28" s="432">
        <f>'Pro 2'!J252/1000</f>
        <v>0</v>
      </c>
      <c r="T28" s="432">
        <f>'Pro 2'!K252/1000</f>
        <v>0</v>
      </c>
      <c r="U28" s="432">
        <f>'Pro 2'!L252/1000</f>
        <v>0</v>
      </c>
      <c r="V28" s="434">
        <f t="shared" si="14"/>
        <v>0</v>
      </c>
      <c r="W28" s="435">
        <f t="shared" si="12"/>
        <v>0</v>
      </c>
      <c r="X28" s="435">
        <f t="shared" si="12"/>
        <v>0</v>
      </c>
      <c r="Y28" s="435">
        <f t="shared" si="12"/>
        <v>0</v>
      </c>
      <c r="Z28" s="435">
        <f t="shared" si="12"/>
        <v>0</v>
      </c>
      <c r="AA28" s="435">
        <f t="shared" si="12"/>
        <v>0</v>
      </c>
      <c r="AB28" s="435">
        <f t="shared" si="12"/>
        <v>0</v>
      </c>
      <c r="AC28" s="436">
        <f t="shared" si="12"/>
        <v>0</v>
      </c>
    </row>
    <row r="29" spans="1:29" ht="13.5" thickBot="1" x14ac:dyDescent="0.25">
      <c r="A29" s="430" t="str">
        <f t="shared" si="15"/>
        <v>Don't</v>
      </c>
      <c r="B29" s="349" t="str">
        <f t="shared" si="13"/>
        <v>DOM</v>
      </c>
      <c r="C29" s="44">
        <f t="shared" si="13"/>
        <v>0</v>
      </c>
      <c r="D29" s="44" t="str">
        <f>'Pro 2'!B231</f>
        <v>Client 5</v>
      </c>
      <c r="E29" s="44">
        <f>'Pro 2'!C231</f>
        <v>0</v>
      </c>
      <c r="F29" s="438">
        <f>'Pro 2'!E255</f>
        <v>0</v>
      </c>
      <c r="G29" s="439">
        <f>'Pro 2'!F255</f>
        <v>0</v>
      </c>
      <c r="H29" s="439">
        <f>'Pro 2'!G255</f>
        <v>0</v>
      </c>
      <c r="I29" s="439">
        <f>'Pro 2'!H255</f>
        <v>0</v>
      </c>
      <c r="J29" s="439">
        <f>'Pro 2'!I255</f>
        <v>0</v>
      </c>
      <c r="K29" s="439">
        <f>'Pro 2'!J255</f>
        <v>0</v>
      </c>
      <c r="L29" s="439">
        <f>'Pro 2'!K255</f>
        <v>0</v>
      </c>
      <c r="M29" s="440">
        <f>'Pro 2'!L255</f>
        <v>0</v>
      </c>
      <c r="N29" s="438">
        <f>'Pro 2'!E256/1000</f>
        <v>0</v>
      </c>
      <c r="O29" s="439">
        <f>'Pro 2'!F256/1000</f>
        <v>0</v>
      </c>
      <c r="P29" s="439">
        <f>'Pro 2'!G256/1000</f>
        <v>0</v>
      </c>
      <c r="Q29" s="439">
        <f>'Pro 2'!H256/1000</f>
        <v>0</v>
      </c>
      <c r="R29" s="439">
        <f>'Pro 2'!I256/1000</f>
        <v>0</v>
      </c>
      <c r="S29" s="439">
        <f>'Pro 2'!J256/1000</f>
        <v>0</v>
      </c>
      <c r="T29" s="439">
        <f>'Pro 2'!K256/1000</f>
        <v>0</v>
      </c>
      <c r="U29" s="439">
        <f>'Pro 2'!L256/1000</f>
        <v>0</v>
      </c>
      <c r="V29" s="441">
        <f t="shared" si="14"/>
        <v>0</v>
      </c>
      <c r="W29" s="442">
        <f t="shared" si="12"/>
        <v>0</v>
      </c>
      <c r="X29" s="442">
        <f t="shared" si="12"/>
        <v>0</v>
      </c>
      <c r="Y29" s="442">
        <f t="shared" si="12"/>
        <v>0</v>
      </c>
      <c r="Z29" s="442">
        <f t="shared" si="12"/>
        <v>0</v>
      </c>
      <c r="AA29" s="442">
        <f t="shared" si="12"/>
        <v>0</v>
      </c>
      <c r="AB29" s="442">
        <f t="shared" si="12"/>
        <v>0</v>
      </c>
      <c r="AC29" s="443">
        <f t="shared" si="12"/>
        <v>0</v>
      </c>
    </row>
    <row r="30" spans="1:29" x14ac:dyDescent="0.2">
      <c r="E30" s="333" t="s">
        <v>977</v>
      </c>
      <c r="F30" s="337">
        <f>SUM(F25:F29)</f>
        <v>0</v>
      </c>
      <c r="G30" s="337">
        <f t="shared" ref="G30:T30" si="16">SUM(G25:G29)</f>
        <v>0</v>
      </c>
      <c r="H30" s="337">
        <f t="shared" si="16"/>
        <v>0</v>
      </c>
      <c r="I30" s="337">
        <f t="shared" si="16"/>
        <v>0</v>
      </c>
      <c r="J30" s="337">
        <f t="shared" si="16"/>
        <v>0</v>
      </c>
      <c r="K30" s="337">
        <f t="shared" si="16"/>
        <v>0</v>
      </c>
      <c r="L30" s="337">
        <f t="shared" si="16"/>
        <v>0</v>
      </c>
      <c r="M30" s="337">
        <f t="shared" si="16"/>
        <v>0</v>
      </c>
      <c r="N30" s="337">
        <f>SUM(N25:N29)</f>
        <v>0</v>
      </c>
      <c r="O30" s="337">
        <f t="shared" si="16"/>
        <v>0</v>
      </c>
      <c r="P30" s="337">
        <f t="shared" si="16"/>
        <v>0</v>
      </c>
      <c r="Q30" s="337">
        <f t="shared" si="16"/>
        <v>0</v>
      </c>
      <c r="R30" s="337">
        <f t="shared" si="16"/>
        <v>0</v>
      </c>
      <c r="S30" s="337">
        <f t="shared" si="16"/>
        <v>0</v>
      </c>
      <c r="T30" s="337">
        <f t="shared" si="16"/>
        <v>0</v>
      </c>
      <c r="U30" s="338">
        <f>SUM(U25:U29)</f>
        <v>0</v>
      </c>
    </row>
    <row r="31" spans="1:29" x14ac:dyDescent="0.2">
      <c r="E31" s="333"/>
      <c r="F31" s="337">
        <f>SUM('Pro 2'!E239,'Pro 2'!E243,'Pro 2'!E247,'Pro 2'!E251,'Pro 2'!E255)</f>
        <v>0</v>
      </c>
      <c r="G31" s="337">
        <f>SUM('Pro 2'!F239,'Pro 2'!F243,'Pro 2'!F247,'Pro 2'!F251,'Pro 2'!F255)</f>
        <v>0</v>
      </c>
      <c r="H31" s="337">
        <f>SUM('Pro 2'!G239,'Pro 2'!G243,'Pro 2'!G247,'Pro 2'!G251,'Pro 2'!G255)</f>
        <v>0</v>
      </c>
      <c r="I31" s="337">
        <f>SUM('Pro 2'!H239,'Pro 2'!H243,'Pro 2'!H247,'Pro 2'!H251,'Pro 2'!H255)</f>
        <v>0</v>
      </c>
      <c r="J31" s="337">
        <f>SUM('Pro 2'!I239,'Pro 2'!I243,'Pro 2'!I247,'Pro 2'!I251,'Pro 2'!I255)</f>
        <v>0</v>
      </c>
      <c r="K31" s="337">
        <f>SUM('Pro 2'!J239,'Pro 2'!J243,'Pro 2'!J247,'Pro 2'!J251,'Pro 2'!J255)</f>
        <v>0</v>
      </c>
      <c r="L31" s="337">
        <f>SUM('Pro 2'!K239,'Pro 2'!K243,'Pro 2'!K247,'Pro 2'!K251,'Pro 2'!K255)</f>
        <v>0</v>
      </c>
      <c r="M31" s="337">
        <f>SUM('Pro 2'!L239,'Pro 2'!L243,'Pro 2'!L247,'Pro 2'!L251,'Pro 2'!L255)</f>
        <v>0</v>
      </c>
      <c r="N31" s="337">
        <f>SUM('Pro 2'!E240,'Pro 2'!E244,'Pro 2'!E248,'Pro 2'!E252,'Pro 2'!E256)/1000</f>
        <v>0</v>
      </c>
      <c r="O31" s="337">
        <f>SUM('Pro 2'!F240,'Pro 2'!F244,'Pro 2'!F248,'Pro 2'!F252,'Pro 2'!F256)/1000</f>
        <v>0</v>
      </c>
      <c r="P31" s="337">
        <f>SUM('Pro 2'!G240,'Pro 2'!G244,'Pro 2'!G248,'Pro 2'!G252,'Pro 2'!G256)/1000</f>
        <v>0</v>
      </c>
      <c r="Q31" s="337">
        <f>SUM('Pro 2'!H240,'Pro 2'!H244,'Pro 2'!H248,'Pro 2'!H252,'Pro 2'!H256)/1000</f>
        <v>0</v>
      </c>
      <c r="R31" s="337">
        <f>SUM('Pro 2'!I240,'Pro 2'!I244,'Pro 2'!I248,'Pro 2'!I252,'Pro 2'!I256)/1000</f>
        <v>0</v>
      </c>
      <c r="S31" s="337">
        <f>SUM('Pro 2'!J240,'Pro 2'!J244,'Pro 2'!J248,'Pro 2'!J252,'Pro 2'!J256)/1000</f>
        <v>0</v>
      </c>
      <c r="T31" s="337">
        <f>SUM('Pro 2'!K240,'Pro 2'!K244,'Pro 2'!K248,'Pro 2'!K252,'Pro 2'!K256)/1000</f>
        <v>0</v>
      </c>
      <c r="U31" s="338">
        <f>SUM('Pro 2'!L240,'Pro 2'!L244,'Pro 2'!L248,'Pro 2'!L252,'Pro 2'!L256)/1000</f>
        <v>0</v>
      </c>
    </row>
    <row r="32" spans="1:29" ht="13.5" thickBot="1" x14ac:dyDescent="0.25">
      <c r="E32" s="349"/>
      <c r="F32" s="343" t="b">
        <f>F30=F31</f>
        <v>1</v>
      </c>
      <c r="G32" s="343" t="b">
        <f t="shared" ref="G32:U32" si="17">G30=G31</f>
        <v>1</v>
      </c>
      <c r="H32" s="343" t="b">
        <f t="shared" si="17"/>
        <v>1</v>
      </c>
      <c r="I32" s="343" t="b">
        <f t="shared" si="17"/>
        <v>1</v>
      </c>
      <c r="J32" s="343" t="b">
        <f t="shared" si="17"/>
        <v>1</v>
      </c>
      <c r="K32" s="343" t="b">
        <f t="shared" si="17"/>
        <v>1</v>
      </c>
      <c r="L32" s="343" t="b">
        <f t="shared" si="17"/>
        <v>1</v>
      </c>
      <c r="M32" s="343" t="b">
        <f t="shared" si="17"/>
        <v>1</v>
      </c>
      <c r="N32" s="343" t="b">
        <f t="shared" si="17"/>
        <v>1</v>
      </c>
      <c r="O32" s="343" t="b">
        <f t="shared" si="17"/>
        <v>1</v>
      </c>
      <c r="P32" s="343" t="b">
        <f t="shared" si="17"/>
        <v>1</v>
      </c>
      <c r="Q32" s="343" t="b">
        <f t="shared" si="17"/>
        <v>1</v>
      </c>
      <c r="R32" s="343" t="b">
        <f t="shared" si="17"/>
        <v>1</v>
      </c>
      <c r="S32" s="343" t="b">
        <f t="shared" si="17"/>
        <v>1</v>
      </c>
      <c r="T32" s="343" t="b">
        <f t="shared" si="17"/>
        <v>1</v>
      </c>
      <c r="U32" s="371" t="b">
        <f t="shared" si="17"/>
        <v>1</v>
      </c>
    </row>
  </sheetData>
  <sheetProtection algorithmName="SHA-512" hashValue="LJVD8U0orrgEtx47XtWGlcSu1/bbzPHNZLQPP1aau7+/oxVbR8iK5CQDhlxDzrq3+0zUha6w7LwszkxyWJYD9g==" saltValue="6Zn1oWyz4QUsfWzgbipCuw==" spinCount="100000" sheet="1" objects="1" scenarios="1" selectLockedCells="1"/>
  <mergeCells count="9">
    <mergeCell ref="B23:E23"/>
    <mergeCell ref="F1:O1"/>
    <mergeCell ref="B12:D12"/>
    <mergeCell ref="F12:U12"/>
    <mergeCell ref="V12:AC12"/>
    <mergeCell ref="B13:E13"/>
    <mergeCell ref="B22:D22"/>
    <mergeCell ref="E22:U22"/>
    <mergeCell ref="V22:AC22"/>
  </mergeCells>
  <conditionalFormatting sqref="A15:A17">
    <cfRule type="containsText" dxfId="7" priority="7" operator="containsText" text="Don't">
      <formula>NOT(ISERROR(SEARCH("Don't",A15)))</formula>
    </cfRule>
    <cfRule type="containsText" dxfId="6" priority="8" operator="containsText" text="Copy">
      <formula>NOT(ISERROR(SEARCH("Copy",A15)))</formula>
    </cfRule>
  </conditionalFormatting>
  <conditionalFormatting sqref="A25:A29">
    <cfRule type="containsText" dxfId="5" priority="5" operator="containsText" text="Don't">
      <formula>NOT(ISERROR(SEARCH("Don't",A25)))</formula>
    </cfRule>
    <cfRule type="containsText" dxfId="4" priority="6" operator="containsText" text="Copy">
      <formula>NOT(ISERROR(SEARCH("Copy",A25)))</formula>
    </cfRule>
  </conditionalFormatting>
  <conditionalFormatting sqref="F20:U20">
    <cfRule type="containsText" dxfId="3" priority="3" operator="containsText" text="FALSE">
      <formula>NOT(ISERROR(SEARCH("FALSE",F20)))</formula>
    </cfRule>
    <cfRule type="containsText" dxfId="2" priority="4" operator="containsText" text="TRUE">
      <formula>NOT(ISERROR(SEARCH("TRUE",F20)))</formula>
    </cfRule>
  </conditionalFormatting>
  <conditionalFormatting sqref="F32:U32">
    <cfRule type="containsText" dxfId="1" priority="1" operator="containsText" text="FALSE">
      <formula>NOT(ISERROR(SEARCH("FALSE",F32)))</formula>
    </cfRule>
    <cfRule type="containsText" dxfId="0" priority="2" operator="containsText" text="TRUE">
      <formula>NOT(ISERROR(SEARCH("TRUE",F32)))</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CD94-4935-4B3A-BD19-2F49D580A152}">
  <sheetPr>
    <tabColor rgb="FFFFC000"/>
  </sheetPr>
  <dimension ref="A1:D103"/>
  <sheetViews>
    <sheetView zoomScale="80" zoomScaleNormal="80" workbookViewId="0">
      <selection activeCell="D31" sqref="D31"/>
    </sheetView>
  </sheetViews>
  <sheetFormatPr defaultColWidth="9.140625" defaultRowHeight="12.75" x14ac:dyDescent="0.2"/>
  <cols>
    <col min="1" max="1" width="9.140625" style="42"/>
    <col min="2" max="2" width="11.5703125" style="42" bestFit="1" customWidth="1"/>
    <col min="3" max="3" width="14.28515625" style="42" customWidth="1"/>
    <col min="4" max="4" width="228.5703125" style="42" customWidth="1"/>
    <col min="5" max="16384" width="9.140625" style="42"/>
  </cols>
  <sheetData>
    <row r="1" spans="1:4" x14ac:dyDescent="0.2">
      <c r="A1" s="311" t="s">
        <v>980</v>
      </c>
      <c r="B1" s="311" t="s">
        <v>981</v>
      </c>
      <c r="C1" s="311" t="s">
        <v>982</v>
      </c>
      <c r="D1" s="311" t="s">
        <v>983</v>
      </c>
    </row>
    <row r="2" spans="1:4" s="312" customFormat="1" x14ac:dyDescent="0.2">
      <c r="A2" s="98">
        <f>Intro!E78</f>
        <v>0</v>
      </c>
      <c r="B2" s="86" t="s">
        <v>984</v>
      </c>
      <c r="C2" s="86"/>
      <c r="D2" s="86"/>
    </row>
    <row r="3" spans="1:4" x14ac:dyDescent="0.2">
      <c r="A3" s="98">
        <f>A2</f>
        <v>0</v>
      </c>
      <c r="B3" s="313"/>
      <c r="C3" s="42" t="s">
        <v>985</v>
      </c>
      <c r="D3" s="88">
        <f>Public!B17</f>
        <v>0</v>
      </c>
    </row>
    <row r="4" spans="1:4" x14ac:dyDescent="0.2">
      <c r="A4" s="98">
        <f t="shared" ref="A4:A22" si="0">A3</f>
        <v>0</v>
      </c>
      <c r="B4" s="313"/>
      <c r="C4" s="42" t="s">
        <v>986</v>
      </c>
      <c r="D4" s="88">
        <f>Public!B61</f>
        <v>0</v>
      </c>
    </row>
    <row r="5" spans="1:4" x14ac:dyDescent="0.2">
      <c r="A5" s="98">
        <f t="shared" si="0"/>
        <v>0</v>
      </c>
      <c r="B5" s="313"/>
      <c r="C5" s="42" t="s">
        <v>987</v>
      </c>
      <c r="D5" s="88">
        <f>Public!B74</f>
        <v>0</v>
      </c>
    </row>
    <row r="6" spans="1:4" x14ac:dyDescent="0.2">
      <c r="A6" s="98">
        <f t="shared" si="0"/>
        <v>0</v>
      </c>
      <c r="B6" s="313"/>
      <c r="C6" s="42" t="s">
        <v>1015</v>
      </c>
      <c r="D6" s="88">
        <f>Public!B90</f>
        <v>0</v>
      </c>
    </row>
    <row r="7" spans="1:4" x14ac:dyDescent="0.2">
      <c r="A7" s="98">
        <f>A6</f>
        <v>0</v>
      </c>
      <c r="B7" s="313"/>
      <c r="C7" s="42" t="s">
        <v>988</v>
      </c>
      <c r="D7" s="88">
        <f>Public!B162</f>
        <v>0</v>
      </c>
    </row>
    <row r="8" spans="1:4" x14ac:dyDescent="0.2">
      <c r="A8" s="98">
        <f>A7</f>
        <v>0</v>
      </c>
      <c r="B8" s="313"/>
      <c r="C8" s="42" t="s">
        <v>989</v>
      </c>
      <c r="D8" s="88">
        <f>Public!D175</f>
        <v>0</v>
      </c>
    </row>
    <row r="9" spans="1:4" x14ac:dyDescent="0.2">
      <c r="A9" s="98">
        <f t="shared" si="0"/>
        <v>0</v>
      </c>
      <c r="B9" s="313"/>
      <c r="C9" s="42" t="s">
        <v>990</v>
      </c>
      <c r="D9" s="88">
        <f>Public!D176</f>
        <v>0</v>
      </c>
    </row>
    <row r="10" spans="1:4" x14ac:dyDescent="0.2">
      <c r="A10" s="98">
        <f t="shared" si="0"/>
        <v>0</v>
      </c>
      <c r="B10" s="313"/>
      <c r="C10" s="42" t="s">
        <v>991</v>
      </c>
      <c r="D10" s="88">
        <f>Public!D177</f>
        <v>0</v>
      </c>
    </row>
    <row r="11" spans="1:4" x14ac:dyDescent="0.2">
      <c r="A11" s="98">
        <f t="shared" si="0"/>
        <v>0</v>
      </c>
      <c r="B11" s="313"/>
      <c r="C11" s="42" t="s">
        <v>992</v>
      </c>
      <c r="D11" s="88">
        <f>Public!B183</f>
        <v>0</v>
      </c>
    </row>
    <row r="12" spans="1:4" x14ac:dyDescent="0.2">
      <c r="A12" s="98">
        <f t="shared" si="0"/>
        <v>0</v>
      </c>
      <c r="B12" s="313"/>
      <c r="C12" s="42" t="s">
        <v>993</v>
      </c>
      <c r="D12" s="88">
        <f>Public!B196</f>
        <v>0</v>
      </c>
    </row>
    <row r="13" spans="1:4" x14ac:dyDescent="0.2">
      <c r="A13" s="98">
        <f t="shared" si="0"/>
        <v>0</v>
      </c>
      <c r="B13" s="313"/>
      <c r="C13" s="42" t="s">
        <v>994</v>
      </c>
      <c r="D13" s="88">
        <f>Public!E211</f>
        <v>0</v>
      </c>
    </row>
    <row r="14" spans="1:4" x14ac:dyDescent="0.2">
      <c r="A14" s="98">
        <f t="shared" si="0"/>
        <v>0</v>
      </c>
      <c r="B14" s="313"/>
      <c r="C14" s="42" t="s">
        <v>995</v>
      </c>
      <c r="D14" s="88">
        <f>Public!E216</f>
        <v>0</v>
      </c>
    </row>
    <row r="15" spans="1:4" x14ac:dyDescent="0.2">
      <c r="A15" s="98">
        <f t="shared" si="0"/>
        <v>0</v>
      </c>
      <c r="B15" s="313"/>
      <c r="C15" s="42" t="s">
        <v>996</v>
      </c>
      <c r="D15" s="88">
        <f>Public!E221</f>
        <v>0</v>
      </c>
    </row>
    <row r="16" spans="1:4" x14ac:dyDescent="0.2">
      <c r="A16" s="98">
        <f t="shared" si="0"/>
        <v>0</v>
      </c>
      <c r="B16" s="313"/>
      <c r="C16" s="42" t="s">
        <v>997</v>
      </c>
      <c r="D16" s="88">
        <f>Public!B232</f>
        <v>0</v>
      </c>
    </row>
    <row r="17" spans="1:4" x14ac:dyDescent="0.2">
      <c r="A17" s="98">
        <f>A16</f>
        <v>0</v>
      </c>
      <c r="B17" s="313"/>
      <c r="C17" s="42" t="s">
        <v>998</v>
      </c>
      <c r="D17" s="88">
        <f>Public!B245</f>
        <v>0</v>
      </c>
    </row>
    <row r="18" spans="1:4" x14ac:dyDescent="0.2">
      <c r="A18" s="98">
        <f>A17</f>
        <v>0</v>
      </c>
      <c r="B18" s="313"/>
      <c r="C18" s="42" t="s">
        <v>999</v>
      </c>
      <c r="D18" s="88">
        <f>Public!B258</f>
        <v>0</v>
      </c>
    </row>
    <row r="19" spans="1:4" x14ac:dyDescent="0.2">
      <c r="A19" s="98">
        <f>A18</f>
        <v>0</v>
      </c>
      <c r="B19" s="313"/>
      <c r="C19" s="42" t="s">
        <v>1000</v>
      </c>
      <c r="D19" s="88">
        <f>Public!B270</f>
        <v>0</v>
      </c>
    </row>
    <row r="20" spans="1:4" x14ac:dyDescent="0.2">
      <c r="A20" s="98">
        <f>A19</f>
        <v>0</v>
      </c>
      <c r="B20" s="313"/>
      <c r="C20" s="42" t="s">
        <v>1001</v>
      </c>
      <c r="D20" s="88">
        <f>Public!B282</f>
        <v>0</v>
      </c>
    </row>
    <row r="21" spans="1:4" x14ac:dyDescent="0.2">
      <c r="A21" s="98">
        <f t="shared" si="0"/>
        <v>0</v>
      </c>
      <c r="B21" s="313"/>
      <c r="C21" s="42" t="s">
        <v>1028</v>
      </c>
      <c r="D21" s="88">
        <f>Public!E296</f>
        <v>0</v>
      </c>
    </row>
    <row r="22" spans="1:4" x14ac:dyDescent="0.2">
      <c r="A22" s="98">
        <f t="shared" si="0"/>
        <v>0</v>
      </c>
      <c r="B22" s="313"/>
      <c r="C22" s="42" t="s">
        <v>1029</v>
      </c>
      <c r="D22" s="88">
        <f>Public!B298</f>
        <v>0</v>
      </c>
    </row>
    <row r="23" spans="1:4" x14ac:dyDescent="0.2">
      <c r="A23" s="98">
        <f>A22</f>
        <v>0</v>
      </c>
      <c r="B23" s="313"/>
      <c r="C23" s="42" t="s">
        <v>1030</v>
      </c>
      <c r="D23" s="88">
        <f>Public!B308</f>
        <v>0</v>
      </c>
    </row>
    <row r="24" spans="1:4" x14ac:dyDescent="0.2">
      <c r="A24" s="98">
        <f t="shared" ref="A24:A87" si="1">A23</f>
        <v>0</v>
      </c>
      <c r="B24" s="313"/>
      <c r="C24" s="42" t="s">
        <v>1002</v>
      </c>
      <c r="D24" s="88">
        <f>Public!B321</f>
        <v>0</v>
      </c>
    </row>
    <row r="25" spans="1:4" x14ac:dyDescent="0.2">
      <c r="A25" s="98">
        <f t="shared" si="1"/>
        <v>0</v>
      </c>
      <c r="B25" s="313"/>
      <c r="C25" s="42" t="s">
        <v>1003</v>
      </c>
      <c r="D25" s="88">
        <f>Public!B334</f>
        <v>0</v>
      </c>
    </row>
    <row r="26" spans="1:4" x14ac:dyDescent="0.2">
      <c r="A26" s="98">
        <f t="shared" si="1"/>
        <v>0</v>
      </c>
      <c r="B26" s="313"/>
      <c r="C26" s="42" t="s">
        <v>1004</v>
      </c>
      <c r="D26" s="88">
        <f>Public!B348</f>
        <v>0</v>
      </c>
    </row>
    <row r="27" spans="1:4" x14ac:dyDescent="0.2">
      <c r="A27" s="98">
        <f t="shared" si="1"/>
        <v>0</v>
      </c>
      <c r="B27" s="313"/>
      <c r="C27" s="42" t="s">
        <v>1005</v>
      </c>
      <c r="D27" s="88">
        <f>Public!B363</f>
        <v>0</v>
      </c>
    </row>
    <row r="28" spans="1:4" x14ac:dyDescent="0.2">
      <c r="A28" s="98">
        <f t="shared" si="1"/>
        <v>0</v>
      </c>
      <c r="B28" s="313"/>
      <c r="C28" s="42" t="s">
        <v>1006</v>
      </c>
      <c r="D28" s="88">
        <f>Public!B377</f>
        <v>0</v>
      </c>
    </row>
    <row r="29" spans="1:4" x14ac:dyDescent="0.2">
      <c r="A29" s="98">
        <f t="shared" si="1"/>
        <v>0</v>
      </c>
      <c r="B29" s="313"/>
      <c r="C29" s="42" t="s">
        <v>1031</v>
      </c>
      <c r="D29" s="88">
        <f>Public!B391</f>
        <v>0</v>
      </c>
    </row>
    <row r="30" spans="1:4" x14ac:dyDescent="0.2">
      <c r="A30" s="98">
        <f t="shared" si="1"/>
        <v>0</v>
      </c>
      <c r="B30" s="313"/>
      <c r="C30" s="42" t="s">
        <v>1007</v>
      </c>
      <c r="D30" s="88">
        <f>Public!B405</f>
        <v>0</v>
      </c>
    </row>
    <row r="31" spans="1:4" x14ac:dyDescent="0.2">
      <c r="A31" s="98">
        <f t="shared" si="1"/>
        <v>0</v>
      </c>
      <c r="B31" s="313"/>
      <c r="C31" s="42" t="s">
        <v>1032</v>
      </c>
      <c r="D31" s="88">
        <f>Public!B424</f>
        <v>0</v>
      </c>
    </row>
    <row r="32" spans="1:4" x14ac:dyDescent="0.2">
      <c r="A32" s="98">
        <f t="shared" si="1"/>
        <v>0</v>
      </c>
      <c r="B32" s="313"/>
      <c r="C32" s="42" t="s">
        <v>1033</v>
      </c>
      <c r="D32" s="88">
        <f>Public!H418</f>
        <v>0</v>
      </c>
    </row>
    <row r="33" spans="1:4" x14ac:dyDescent="0.2">
      <c r="A33" s="98">
        <f t="shared" si="1"/>
        <v>0</v>
      </c>
      <c r="B33" s="313"/>
      <c r="C33" s="42" t="s">
        <v>1034</v>
      </c>
      <c r="D33" s="88">
        <f>Public!H419</f>
        <v>0</v>
      </c>
    </row>
    <row r="34" spans="1:4" x14ac:dyDescent="0.2">
      <c r="A34" s="98">
        <f t="shared" si="1"/>
        <v>0</v>
      </c>
      <c r="B34" s="313"/>
      <c r="C34" s="42" t="s">
        <v>1035</v>
      </c>
      <c r="D34" s="88">
        <f>Public!H420</f>
        <v>0</v>
      </c>
    </row>
    <row r="35" spans="1:4" x14ac:dyDescent="0.2">
      <c r="A35" s="98">
        <f t="shared" si="1"/>
        <v>0</v>
      </c>
      <c r="B35" s="313"/>
      <c r="C35" s="42" t="s">
        <v>1008</v>
      </c>
      <c r="D35" s="88">
        <f>Public!B437</f>
        <v>0</v>
      </c>
    </row>
    <row r="36" spans="1:4" x14ac:dyDescent="0.2">
      <c r="A36" s="98">
        <f t="shared" si="1"/>
        <v>0</v>
      </c>
      <c r="B36" s="313"/>
      <c r="C36" s="42" t="s">
        <v>1009</v>
      </c>
      <c r="D36" s="88">
        <f>Public!B453</f>
        <v>0</v>
      </c>
    </row>
    <row r="37" spans="1:4" x14ac:dyDescent="0.2">
      <c r="A37" s="98">
        <f t="shared" si="1"/>
        <v>0</v>
      </c>
      <c r="B37" s="313"/>
      <c r="C37" s="42" t="s">
        <v>1010</v>
      </c>
      <c r="D37" s="88">
        <f>Public!B467</f>
        <v>0</v>
      </c>
    </row>
    <row r="38" spans="1:4" x14ac:dyDescent="0.2">
      <c r="A38" s="98">
        <f t="shared" si="1"/>
        <v>0</v>
      </c>
      <c r="B38" s="313"/>
      <c r="C38" s="42" t="s">
        <v>1011</v>
      </c>
      <c r="D38" s="88">
        <f>Public!B481</f>
        <v>0</v>
      </c>
    </row>
    <row r="39" spans="1:4" x14ac:dyDescent="0.2">
      <c r="A39" s="98">
        <f t="shared" si="1"/>
        <v>0</v>
      </c>
      <c r="B39" s="313"/>
      <c r="D39" s="88"/>
    </row>
    <row r="40" spans="1:4" x14ac:dyDescent="0.2">
      <c r="A40" s="98">
        <f t="shared" si="1"/>
        <v>0</v>
      </c>
      <c r="B40" s="86" t="s">
        <v>1012</v>
      </c>
      <c r="D40" s="88"/>
    </row>
    <row r="41" spans="1:4" x14ac:dyDescent="0.2">
      <c r="A41" s="98">
        <f t="shared" si="1"/>
        <v>0</v>
      </c>
      <c r="B41" s="42" t="s">
        <v>277</v>
      </c>
      <c r="C41" s="88">
        <f>AddPub!C13</f>
        <v>0</v>
      </c>
      <c r="D41" s="88">
        <f>AddPub!D13</f>
        <v>0</v>
      </c>
    </row>
    <row r="42" spans="1:4" x14ac:dyDescent="0.2">
      <c r="A42" s="98">
        <f t="shared" si="1"/>
        <v>0</v>
      </c>
      <c r="B42" s="42" t="s">
        <v>279</v>
      </c>
      <c r="C42" s="88">
        <f>AddPub!C22</f>
        <v>0</v>
      </c>
      <c r="D42" s="88">
        <f>AddPub!D22</f>
        <v>0</v>
      </c>
    </row>
    <row r="43" spans="1:4" x14ac:dyDescent="0.2">
      <c r="A43" s="98">
        <f t="shared" si="1"/>
        <v>0</v>
      </c>
      <c r="B43" s="42" t="s">
        <v>281</v>
      </c>
      <c r="C43" s="88">
        <f>AddPub!C31</f>
        <v>0</v>
      </c>
      <c r="D43" s="88">
        <f>AddPub!D31</f>
        <v>0</v>
      </c>
    </row>
    <row r="44" spans="1:4" x14ac:dyDescent="0.2">
      <c r="A44" s="98">
        <f t="shared" si="1"/>
        <v>0</v>
      </c>
      <c r="B44" s="42" t="s">
        <v>283</v>
      </c>
      <c r="C44" s="88">
        <f>AddPub!C40</f>
        <v>0</v>
      </c>
      <c r="D44" s="88">
        <f>AddPub!D40</f>
        <v>0</v>
      </c>
    </row>
    <row r="45" spans="1:4" x14ac:dyDescent="0.2">
      <c r="A45" s="98">
        <f t="shared" si="1"/>
        <v>0</v>
      </c>
      <c r="B45" s="42" t="s">
        <v>285</v>
      </c>
      <c r="C45" s="88">
        <f>AddPub!C49</f>
        <v>0</v>
      </c>
      <c r="D45" s="88">
        <f>AddPub!D49</f>
        <v>0</v>
      </c>
    </row>
    <row r="46" spans="1:4" x14ac:dyDescent="0.2">
      <c r="A46" s="98">
        <f t="shared" si="1"/>
        <v>0</v>
      </c>
      <c r="B46" s="86" t="s">
        <v>1013</v>
      </c>
    </row>
    <row r="47" spans="1:4" x14ac:dyDescent="0.2">
      <c r="A47" s="98">
        <f t="shared" si="1"/>
        <v>0</v>
      </c>
      <c r="C47" s="42" t="s">
        <v>1014</v>
      </c>
      <c r="D47" s="88">
        <f>'Pro 1'!B35</f>
        <v>0</v>
      </c>
    </row>
    <row r="48" spans="1:4" x14ac:dyDescent="0.2">
      <c r="A48" s="98">
        <f t="shared" si="1"/>
        <v>0</v>
      </c>
      <c r="C48" s="42" t="s">
        <v>986</v>
      </c>
      <c r="D48" s="88">
        <f>'Pro 1'!B48</f>
        <v>0</v>
      </c>
    </row>
    <row r="49" spans="1:4" x14ac:dyDescent="0.2">
      <c r="A49" s="98">
        <f t="shared" si="1"/>
        <v>0</v>
      </c>
      <c r="C49" s="42" t="s">
        <v>987</v>
      </c>
      <c r="D49" s="88">
        <f>'Pro 1'!B61</f>
        <v>0</v>
      </c>
    </row>
    <row r="50" spans="1:4" x14ac:dyDescent="0.2">
      <c r="A50" s="98">
        <f t="shared" si="1"/>
        <v>0</v>
      </c>
      <c r="C50" s="42" t="s">
        <v>1015</v>
      </c>
      <c r="D50" s="88">
        <f>'Pro 1'!B75</f>
        <v>0</v>
      </c>
    </row>
    <row r="51" spans="1:4" x14ac:dyDescent="0.2">
      <c r="A51" s="98">
        <f t="shared" si="1"/>
        <v>0</v>
      </c>
      <c r="C51" s="42" t="s">
        <v>1016</v>
      </c>
      <c r="D51" s="88">
        <f>'Pro 1'!B90</f>
        <v>0</v>
      </c>
    </row>
    <row r="52" spans="1:4" x14ac:dyDescent="0.2">
      <c r="A52" s="98">
        <f t="shared" si="1"/>
        <v>0</v>
      </c>
      <c r="C52" s="42" t="s">
        <v>988</v>
      </c>
      <c r="D52" s="88">
        <f>'Pro 1'!B103</f>
        <v>0</v>
      </c>
    </row>
    <row r="53" spans="1:4" x14ac:dyDescent="0.2">
      <c r="A53" s="98">
        <f t="shared" si="1"/>
        <v>0</v>
      </c>
      <c r="D53" s="88"/>
    </row>
    <row r="54" spans="1:4" x14ac:dyDescent="0.2">
      <c r="A54" s="98">
        <f t="shared" si="1"/>
        <v>0</v>
      </c>
      <c r="B54" s="86" t="s">
        <v>1017</v>
      </c>
    </row>
    <row r="55" spans="1:4" x14ac:dyDescent="0.2">
      <c r="A55" s="98">
        <f t="shared" si="1"/>
        <v>0</v>
      </c>
      <c r="B55" s="86"/>
      <c r="C55" s="42" t="s">
        <v>1014</v>
      </c>
      <c r="D55" s="88">
        <f>'Pro 2'!B56</f>
        <v>0</v>
      </c>
    </row>
    <row r="56" spans="1:4" x14ac:dyDescent="0.2">
      <c r="A56" s="98">
        <f t="shared" si="1"/>
        <v>0</v>
      </c>
      <c r="C56" s="42" t="s">
        <v>986</v>
      </c>
      <c r="D56" s="88">
        <f>'Pro 2'!B70</f>
        <v>0</v>
      </c>
    </row>
    <row r="57" spans="1:4" x14ac:dyDescent="0.2">
      <c r="A57" s="98">
        <f t="shared" si="1"/>
        <v>0</v>
      </c>
      <c r="C57" s="42" t="s">
        <v>987</v>
      </c>
      <c r="D57" s="88">
        <f>'Pro 2'!B84</f>
        <v>0</v>
      </c>
    </row>
    <row r="58" spans="1:4" x14ac:dyDescent="0.2">
      <c r="A58" s="98">
        <f t="shared" si="1"/>
        <v>0</v>
      </c>
      <c r="C58" s="42" t="s">
        <v>1015</v>
      </c>
      <c r="D58" s="88">
        <f>'Pro 2'!B97</f>
        <v>0</v>
      </c>
    </row>
    <row r="59" spans="1:4" x14ac:dyDescent="0.2">
      <c r="A59" s="98">
        <f t="shared" si="1"/>
        <v>0</v>
      </c>
      <c r="C59" s="42" t="s">
        <v>1016</v>
      </c>
      <c r="D59" s="88">
        <f>'Pro 2'!B110</f>
        <v>0</v>
      </c>
    </row>
    <row r="60" spans="1:4" x14ac:dyDescent="0.2">
      <c r="A60" s="98">
        <f t="shared" si="1"/>
        <v>0</v>
      </c>
      <c r="C60" s="42" t="s">
        <v>988</v>
      </c>
      <c r="D60" s="88">
        <f>'Pro 2'!B125</f>
        <v>0</v>
      </c>
    </row>
    <row r="61" spans="1:4" x14ac:dyDescent="0.2">
      <c r="A61" s="98">
        <f t="shared" si="1"/>
        <v>0</v>
      </c>
      <c r="C61" s="42" t="s">
        <v>1036</v>
      </c>
      <c r="D61" s="88">
        <f>'Pro 2'!B144</f>
        <v>0</v>
      </c>
    </row>
    <row r="62" spans="1:4" x14ac:dyDescent="0.2">
      <c r="A62" s="98">
        <f t="shared" si="1"/>
        <v>0</v>
      </c>
      <c r="C62" s="42" t="s">
        <v>992</v>
      </c>
      <c r="D62" s="88">
        <f>'Pro 2'!B158</f>
        <v>0</v>
      </c>
    </row>
    <row r="63" spans="1:4" x14ac:dyDescent="0.2">
      <c r="A63" s="98">
        <f t="shared" si="1"/>
        <v>0</v>
      </c>
      <c r="C63" s="42" t="s">
        <v>1018</v>
      </c>
      <c r="D63" s="88">
        <f>'Pro 2'!B172</f>
        <v>0</v>
      </c>
    </row>
    <row r="64" spans="1:4" x14ac:dyDescent="0.2">
      <c r="A64" s="98">
        <f t="shared" si="1"/>
        <v>0</v>
      </c>
      <c r="C64" s="42" t="s">
        <v>994</v>
      </c>
      <c r="D64" s="88">
        <f>'Pro 2'!B186</f>
        <v>0</v>
      </c>
    </row>
    <row r="65" spans="1:4" x14ac:dyDescent="0.2">
      <c r="A65" s="98">
        <f t="shared" si="1"/>
        <v>0</v>
      </c>
      <c r="C65" s="42" t="s">
        <v>995</v>
      </c>
      <c r="D65" s="88">
        <f>'Pro 2'!B197</f>
        <v>0</v>
      </c>
    </row>
    <row r="66" spans="1:4" x14ac:dyDescent="0.2">
      <c r="A66" s="98">
        <f t="shared" si="1"/>
        <v>0</v>
      </c>
      <c r="D66" s="88"/>
    </row>
    <row r="67" spans="1:4" x14ac:dyDescent="0.2">
      <c r="A67" s="98">
        <f t="shared" si="1"/>
        <v>0</v>
      </c>
      <c r="B67" s="86" t="s">
        <v>1019</v>
      </c>
    </row>
    <row r="68" spans="1:4" x14ac:dyDescent="0.2">
      <c r="A68" s="98">
        <f t="shared" si="1"/>
        <v>0</v>
      </c>
      <c r="B68" s="86"/>
      <c r="C68" s="42" t="s">
        <v>1037</v>
      </c>
      <c r="D68" s="88">
        <f>'Pro 3'!B37</f>
        <v>0</v>
      </c>
    </row>
    <row r="69" spans="1:4" x14ac:dyDescent="0.2">
      <c r="A69" s="98">
        <f t="shared" si="1"/>
        <v>0</v>
      </c>
      <c r="B69" s="86"/>
      <c r="C69" s="42" t="s">
        <v>1038</v>
      </c>
      <c r="D69" s="88">
        <f>'Pro 3'!B62</f>
        <v>0</v>
      </c>
    </row>
    <row r="70" spans="1:4" x14ac:dyDescent="0.2">
      <c r="A70" s="98">
        <f t="shared" si="1"/>
        <v>0</v>
      </c>
      <c r="B70" s="86"/>
      <c r="C70" s="42" t="s">
        <v>1014</v>
      </c>
      <c r="D70" s="88">
        <f>'Pro 3'!B75</f>
        <v>0</v>
      </c>
    </row>
    <row r="71" spans="1:4" x14ac:dyDescent="0.2">
      <c r="A71" s="98">
        <f t="shared" si="1"/>
        <v>0</v>
      </c>
      <c r="C71" s="42" t="s">
        <v>1039</v>
      </c>
      <c r="D71" s="88">
        <f>'Pro 3'!B200</f>
        <v>0</v>
      </c>
    </row>
    <row r="72" spans="1:4" x14ac:dyDescent="0.2">
      <c r="A72" s="98">
        <f t="shared" si="1"/>
        <v>0</v>
      </c>
      <c r="C72" s="42" t="s">
        <v>1040</v>
      </c>
      <c r="D72" s="88">
        <f>'Pro 3'!B210</f>
        <v>0</v>
      </c>
    </row>
    <row r="73" spans="1:4" x14ac:dyDescent="0.2">
      <c r="A73" s="98">
        <f t="shared" si="1"/>
        <v>0</v>
      </c>
      <c r="C73" s="42" t="s">
        <v>1041</v>
      </c>
      <c r="D73" s="88">
        <f>'Pro 3'!B234</f>
        <v>0</v>
      </c>
    </row>
    <row r="74" spans="1:4" x14ac:dyDescent="0.2">
      <c r="A74" s="98">
        <f t="shared" si="1"/>
        <v>0</v>
      </c>
      <c r="C74" s="42" t="s">
        <v>1042</v>
      </c>
      <c r="D74" s="88">
        <f>'Pro 3'!B244</f>
        <v>0</v>
      </c>
    </row>
    <row r="75" spans="1:4" x14ac:dyDescent="0.2">
      <c r="A75" s="98">
        <f t="shared" si="1"/>
        <v>0</v>
      </c>
      <c r="C75" s="42" t="s">
        <v>1043</v>
      </c>
      <c r="D75" s="88">
        <f>'Pro 3'!D281</f>
        <v>0</v>
      </c>
    </row>
    <row r="76" spans="1:4" x14ac:dyDescent="0.2">
      <c r="A76" s="98">
        <f t="shared" si="1"/>
        <v>0</v>
      </c>
      <c r="C76" s="42" t="s">
        <v>1044</v>
      </c>
      <c r="D76" s="88">
        <f>'Pro 3'!D289</f>
        <v>0</v>
      </c>
    </row>
    <row r="77" spans="1:4" x14ac:dyDescent="0.2">
      <c r="A77" s="98">
        <f t="shared" si="1"/>
        <v>0</v>
      </c>
      <c r="C77" s="42" t="s">
        <v>1045</v>
      </c>
      <c r="D77" s="88">
        <f>'Pro 3'!D297</f>
        <v>0</v>
      </c>
    </row>
    <row r="78" spans="1:4" x14ac:dyDescent="0.2">
      <c r="A78" s="98">
        <f t="shared" si="1"/>
        <v>0</v>
      </c>
      <c r="C78" s="42" t="s">
        <v>988</v>
      </c>
      <c r="D78" s="88">
        <f>'Pro 3'!B310</f>
        <v>0</v>
      </c>
    </row>
    <row r="79" spans="1:4" x14ac:dyDescent="0.2">
      <c r="A79" s="98">
        <f t="shared" si="1"/>
        <v>0</v>
      </c>
      <c r="C79" s="42" t="s">
        <v>992</v>
      </c>
      <c r="D79" s="88">
        <f>'Pro 3'!B332</f>
        <v>0</v>
      </c>
    </row>
    <row r="80" spans="1:4" x14ac:dyDescent="0.2">
      <c r="A80" s="98">
        <f t="shared" si="1"/>
        <v>0</v>
      </c>
      <c r="C80" s="42" t="s">
        <v>1046</v>
      </c>
      <c r="D80" s="88">
        <f>'Pro 3'!D345</f>
        <v>0</v>
      </c>
    </row>
    <row r="81" spans="1:4" x14ac:dyDescent="0.2">
      <c r="A81" s="98">
        <f t="shared" si="1"/>
        <v>0</v>
      </c>
      <c r="C81" s="42" t="s">
        <v>1047</v>
      </c>
      <c r="D81" s="88">
        <f>'Pro 3'!D355</f>
        <v>0</v>
      </c>
    </row>
    <row r="82" spans="1:4" x14ac:dyDescent="0.2">
      <c r="A82" s="98">
        <f t="shared" si="1"/>
        <v>0</v>
      </c>
      <c r="C82" s="42" t="s">
        <v>1048</v>
      </c>
      <c r="D82" s="88">
        <f>'Pro 3'!D365</f>
        <v>0</v>
      </c>
    </row>
    <row r="83" spans="1:4" x14ac:dyDescent="0.2">
      <c r="A83" s="98">
        <f t="shared" si="1"/>
        <v>0</v>
      </c>
      <c r="C83" s="42" t="s">
        <v>994</v>
      </c>
      <c r="D83" s="88">
        <f>'Pro 3'!B394</f>
        <v>0</v>
      </c>
    </row>
    <row r="84" spans="1:4" x14ac:dyDescent="0.2">
      <c r="A84" s="98">
        <f t="shared" si="1"/>
        <v>0</v>
      </c>
      <c r="C84" s="42" t="s">
        <v>995</v>
      </c>
      <c r="D84" s="88">
        <f>'Pro 3'!B405</f>
        <v>0</v>
      </c>
    </row>
    <row r="85" spans="1:4" x14ac:dyDescent="0.2">
      <c r="A85" s="98">
        <f t="shared" si="1"/>
        <v>0</v>
      </c>
      <c r="D85" s="88"/>
    </row>
    <row r="86" spans="1:4" x14ac:dyDescent="0.2">
      <c r="A86" s="98">
        <f t="shared" si="1"/>
        <v>0</v>
      </c>
      <c r="B86" s="86" t="s">
        <v>1020</v>
      </c>
    </row>
    <row r="87" spans="1:4" x14ac:dyDescent="0.2">
      <c r="A87" s="98">
        <f t="shared" si="1"/>
        <v>0</v>
      </c>
      <c r="B87" s="42" t="s">
        <v>277</v>
      </c>
      <c r="C87" s="88">
        <f>AddPro!D13</f>
        <v>0</v>
      </c>
      <c r="D87" s="88">
        <f>AddPro!D13</f>
        <v>0</v>
      </c>
    </row>
    <row r="88" spans="1:4" x14ac:dyDescent="0.2">
      <c r="A88" s="98">
        <f t="shared" ref="A88:A103" si="2">A87</f>
        <v>0</v>
      </c>
      <c r="B88" s="42" t="s">
        <v>279</v>
      </c>
      <c r="C88" s="88">
        <f>AddPro!D22</f>
        <v>0</v>
      </c>
      <c r="D88" s="88">
        <f>AddPro!D22</f>
        <v>0</v>
      </c>
    </row>
    <row r="89" spans="1:4" x14ac:dyDescent="0.2">
      <c r="A89" s="98">
        <f t="shared" si="2"/>
        <v>0</v>
      </c>
      <c r="B89" s="42" t="s">
        <v>281</v>
      </c>
      <c r="C89" s="88">
        <f>AddPro!D31</f>
        <v>0</v>
      </c>
      <c r="D89" s="88">
        <f>AddPro!D31</f>
        <v>0</v>
      </c>
    </row>
    <row r="90" spans="1:4" x14ac:dyDescent="0.2">
      <c r="A90" s="98">
        <f t="shared" si="2"/>
        <v>0</v>
      </c>
      <c r="B90" s="42" t="s">
        <v>283</v>
      </c>
      <c r="C90" s="88">
        <f>AddPro!D40</f>
        <v>0</v>
      </c>
      <c r="D90" s="88">
        <f>AddPro!D40</f>
        <v>0</v>
      </c>
    </row>
    <row r="91" spans="1:4" x14ac:dyDescent="0.2">
      <c r="A91" s="98">
        <f t="shared" si="2"/>
        <v>0</v>
      </c>
      <c r="B91" s="42" t="s">
        <v>285</v>
      </c>
      <c r="C91" s="88">
        <f>AddPro!D49</f>
        <v>0</v>
      </c>
      <c r="D91" s="88">
        <f>AddPro!D49</f>
        <v>0</v>
      </c>
    </row>
    <row r="92" spans="1:4" x14ac:dyDescent="0.2">
      <c r="A92" s="98">
        <f t="shared" si="2"/>
        <v>0</v>
      </c>
      <c r="B92" s="86" t="s">
        <v>1049</v>
      </c>
    </row>
    <row r="93" spans="1:4" x14ac:dyDescent="0.2">
      <c r="A93" s="98">
        <f t="shared" si="2"/>
        <v>0</v>
      </c>
      <c r="B93" s="42" t="s">
        <v>1050</v>
      </c>
      <c r="C93" s="42">
        <f>'Pro 4'!B22</f>
        <v>0</v>
      </c>
      <c r="D93" s="42">
        <f>'Pro 4'!D18</f>
        <v>0</v>
      </c>
    </row>
    <row r="94" spans="1:4" x14ac:dyDescent="0.2">
      <c r="A94" s="98">
        <f t="shared" si="2"/>
        <v>0</v>
      </c>
      <c r="B94" s="42" t="s">
        <v>88</v>
      </c>
      <c r="C94" s="42">
        <f>'Pro 4'!B32</f>
        <v>0</v>
      </c>
      <c r="D94" s="88">
        <f>'Pro 4'!D28</f>
        <v>0</v>
      </c>
    </row>
    <row r="95" spans="1:4" x14ac:dyDescent="0.2">
      <c r="A95" s="98">
        <f t="shared" si="2"/>
        <v>0</v>
      </c>
      <c r="B95" s="42" t="s">
        <v>1051</v>
      </c>
      <c r="C95" s="42">
        <f>'Pro 4'!B42</f>
        <v>0</v>
      </c>
      <c r="D95" s="88">
        <f>'Pro 4'!D38</f>
        <v>0</v>
      </c>
    </row>
    <row r="96" spans="1:4" x14ac:dyDescent="0.2">
      <c r="A96" s="98">
        <f t="shared" si="2"/>
        <v>0</v>
      </c>
      <c r="B96" s="42" t="s">
        <v>1052</v>
      </c>
      <c r="C96" s="42">
        <f>'Pro 4'!B52</f>
        <v>0</v>
      </c>
      <c r="D96" s="88">
        <f>'Pro 4'!D48</f>
        <v>0</v>
      </c>
    </row>
    <row r="97" spans="1:4" x14ac:dyDescent="0.2">
      <c r="A97" s="98">
        <f t="shared" si="2"/>
        <v>0</v>
      </c>
      <c r="B97" s="42" t="s">
        <v>1053</v>
      </c>
      <c r="C97" s="42">
        <f>'Pro 4'!B62</f>
        <v>0</v>
      </c>
      <c r="D97" s="88">
        <f>'Pro 4'!D58</f>
        <v>0</v>
      </c>
    </row>
    <row r="98" spans="1:4" x14ac:dyDescent="0.2">
      <c r="A98" s="98">
        <f t="shared" si="2"/>
        <v>0</v>
      </c>
      <c r="B98" s="42" t="s">
        <v>84</v>
      </c>
      <c r="C98" s="42">
        <f>'Pro 4'!B72</f>
        <v>0</v>
      </c>
      <c r="D98" s="88">
        <f>'Pro 4'!D68</f>
        <v>0</v>
      </c>
    </row>
    <row r="99" spans="1:4" x14ac:dyDescent="0.2">
      <c r="A99" s="98">
        <f t="shared" si="2"/>
        <v>0</v>
      </c>
      <c r="B99" s="42" t="s">
        <v>1054</v>
      </c>
      <c r="C99" s="42">
        <f>'Pro 4'!B82</f>
        <v>0</v>
      </c>
      <c r="D99" s="88">
        <f>'Pro 4'!D78</f>
        <v>0</v>
      </c>
    </row>
    <row r="100" spans="1:4" x14ac:dyDescent="0.2">
      <c r="A100" s="98">
        <f t="shared" si="2"/>
        <v>0</v>
      </c>
      <c r="B100" s="42" t="s">
        <v>1055</v>
      </c>
      <c r="C100" s="42">
        <f>'Pro 4'!B92</f>
        <v>0</v>
      </c>
      <c r="D100" s="88">
        <f>'Pro 4'!D88</f>
        <v>0</v>
      </c>
    </row>
    <row r="101" spans="1:4" x14ac:dyDescent="0.2">
      <c r="A101" s="98">
        <f t="shared" si="2"/>
        <v>0</v>
      </c>
      <c r="B101" s="42" t="s">
        <v>306</v>
      </c>
      <c r="C101" s="42">
        <f>'Pro 4'!B102</f>
        <v>0</v>
      </c>
      <c r="D101" s="88">
        <f>'Pro 4'!D98</f>
        <v>0</v>
      </c>
    </row>
    <row r="102" spans="1:4" x14ac:dyDescent="0.2">
      <c r="A102" s="98">
        <f t="shared" si="2"/>
        <v>0</v>
      </c>
      <c r="B102" s="42" t="s">
        <v>1056</v>
      </c>
      <c r="C102" s="42">
        <f>'Pro 4'!B112</f>
        <v>0</v>
      </c>
      <c r="D102" s="88">
        <f>'Pro 4'!D108</f>
        <v>0</v>
      </c>
    </row>
    <row r="103" spans="1:4" x14ac:dyDescent="0.2">
      <c r="A103" s="98">
        <f t="shared" si="2"/>
        <v>0</v>
      </c>
      <c r="B103" s="42" t="s">
        <v>1057</v>
      </c>
      <c r="C103" s="42">
        <f>'Pro 4'!B122</f>
        <v>0</v>
      </c>
      <c r="D103" s="88">
        <f>'Pro 4'!D118</f>
        <v>0</v>
      </c>
    </row>
  </sheetData>
  <sheetProtection algorithmName="SHA-512" hashValue="Ie/IeNJKT9mWsm2UCaV9+fSObKGszU9Bn1qZKvGdSde1KEugvMkcWzJbh0EepJCmsdYpdQa+vYHzLduxYw7W5Q==" saltValue="Tcx0e3Fat9L2eSYxHH//Kg==" spinCount="100000" sheet="1" objects="1" scenarios="1" selectLockedCell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58FE1-0F21-4E25-B878-684951186162}">
  <sheetPr>
    <tabColor rgb="FFFFC000"/>
  </sheetPr>
  <dimension ref="A1:N11"/>
  <sheetViews>
    <sheetView zoomScale="80" zoomScaleNormal="80" workbookViewId="0">
      <selection activeCell="I23" sqref="I23"/>
    </sheetView>
  </sheetViews>
  <sheetFormatPr defaultRowHeight="12.75" x14ac:dyDescent="0.2"/>
  <cols>
    <col min="1" max="1" width="11.85546875" style="42" customWidth="1"/>
    <col min="2" max="2" width="7.28515625" style="42" bestFit="1" customWidth="1"/>
    <col min="3" max="3" width="22.140625" style="42" bestFit="1" customWidth="1"/>
    <col min="4" max="4" width="19.7109375" style="42" bestFit="1" customWidth="1"/>
    <col min="5" max="5" width="21.140625" style="42" bestFit="1" customWidth="1"/>
    <col min="6" max="6" width="10.7109375" style="42" bestFit="1" customWidth="1"/>
    <col min="7" max="7" width="21.140625" style="42" bestFit="1" customWidth="1"/>
    <col min="8" max="8" width="19.42578125" style="42" bestFit="1" customWidth="1"/>
    <col min="9" max="9" width="19" style="42" bestFit="1" customWidth="1"/>
    <col min="10" max="10" width="20.28515625" style="42" customWidth="1"/>
    <col min="11" max="11" width="29.140625" style="42" customWidth="1"/>
    <col min="12" max="12" width="38.5703125" style="42" customWidth="1"/>
    <col min="13" max="14" width="37" style="42" customWidth="1"/>
    <col min="15" max="16384" width="9.140625" style="42"/>
  </cols>
  <sheetData>
    <row r="1" spans="1:14" s="314" customFormat="1" ht="43.5" customHeight="1" x14ac:dyDescent="0.2">
      <c r="A1" s="318" t="s">
        <v>478</v>
      </c>
      <c r="B1" s="318" t="s">
        <v>909</v>
      </c>
      <c r="C1" s="318" t="s">
        <v>889</v>
      </c>
      <c r="D1" s="318" t="s">
        <v>891</v>
      </c>
      <c r="E1" s="318" t="s">
        <v>893</v>
      </c>
      <c r="F1" s="318" t="s">
        <v>895</v>
      </c>
      <c r="G1" s="318" t="s">
        <v>897</v>
      </c>
      <c r="H1" s="318" t="s">
        <v>899</v>
      </c>
      <c r="I1" s="318" t="s">
        <v>901</v>
      </c>
      <c r="J1" s="318" t="s">
        <v>903</v>
      </c>
      <c r="K1" s="318" t="s">
        <v>905</v>
      </c>
      <c r="L1" s="318" t="s">
        <v>907</v>
      </c>
      <c r="M1" s="318" t="s">
        <v>911</v>
      </c>
      <c r="N1" s="318" t="s">
        <v>1058</v>
      </c>
    </row>
    <row r="2" spans="1:14" x14ac:dyDescent="0.2">
      <c r="A2" s="42">
        <f>Intro!$E$71</f>
        <v>0</v>
      </c>
      <c r="B2" s="42">
        <v>1</v>
      </c>
      <c r="C2" s="42">
        <f>'Projects - Projets'!C19</f>
        <v>0</v>
      </c>
      <c r="D2" s="42">
        <f>'Projects - Projets'!E19</f>
        <v>0</v>
      </c>
      <c r="E2" s="42">
        <f>'Projects - Projets'!G19</f>
        <v>0</v>
      </c>
      <c r="F2" s="42">
        <f>'Projects - Projets'!I19</f>
        <v>0</v>
      </c>
      <c r="G2" s="315">
        <f>'Projects - Projets'!K19</f>
        <v>0</v>
      </c>
      <c r="H2" s="42">
        <f>'Projects - Projets'!C36</f>
        <v>0</v>
      </c>
      <c r="I2" s="42">
        <f>'Projects - Projets'!E36</f>
        <v>0</v>
      </c>
      <c r="J2" s="316">
        <f>'Projects - Projets'!G36</f>
        <v>0</v>
      </c>
      <c r="K2" s="317">
        <f>'Projects - Projets'!I36/1000</f>
        <v>0</v>
      </c>
      <c r="L2" s="42">
        <f>'Projects - Projets'!K36</f>
        <v>0</v>
      </c>
      <c r="M2" s="42">
        <f>'Projects - Projets'!C47</f>
        <v>0</v>
      </c>
      <c r="N2" s="317">
        <f>'Projects - Projets'!K47/1000</f>
        <v>0</v>
      </c>
    </row>
    <row r="3" spans="1:14" x14ac:dyDescent="0.2">
      <c r="A3" s="42">
        <f>A2</f>
        <v>0</v>
      </c>
      <c r="B3" s="42">
        <v>2</v>
      </c>
      <c r="C3" s="42">
        <f>'Projects - Projets'!C20</f>
        <v>0</v>
      </c>
      <c r="D3" s="42">
        <f>'Projects - Projets'!E20</f>
        <v>0</v>
      </c>
      <c r="E3" s="42">
        <f>'Projects - Projets'!G20</f>
        <v>0</v>
      </c>
      <c r="F3" s="42">
        <f>'Projects - Projets'!I20</f>
        <v>0</v>
      </c>
      <c r="G3" s="315">
        <f>'Projects - Projets'!K20</f>
        <v>0</v>
      </c>
      <c r="H3" s="42">
        <f>'Projects - Projets'!C37</f>
        <v>0</v>
      </c>
      <c r="I3" s="42">
        <f>'Projects - Projets'!E37</f>
        <v>0</v>
      </c>
      <c r="J3" s="316">
        <f>'Projects - Projets'!G37</f>
        <v>0</v>
      </c>
      <c r="K3" s="317">
        <f>'Projects - Projets'!I37/1000</f>
        <v>0</v>
      </c>
      <c r="L3" s="42">
        <f>'Projects - Projets'!K37</f>
        <v>0</v>
      </c>
      <c r="M3" s="42">
        <f>'Projects - Projets'!C48</f>
        <v>0</v>
      </c>
      <c r="N3" s="317">
        <f>'Projects - Projets'!K48/1000</f>
        <v>0</v>
      </c>
    </row>
    <row r="4" spans="1:14" x14ac:dyDescent="0.2">
      <c r="A4" s="42">
        <f t="shared" ref="A4:A11" si="0">A3</f>
        <v>0</v>
      </c>
      <c r="B4" s="42">
        <v>3</v>
      </c>
      <c r="C4" s="42">
        <f>'Projects - Projets'!C21</f>
        <v>0</v>
      </c>
      <c r="D4" s="42">
        <f>'Projects - Projets'!E21</f>
        <v>0</v>
      </c>
      <c r="E4" s="42">
        <f>'Projects - Projets'!G21</f>
        <v>0</v>
      </c>
      <c r="F4" s="42">
        <f>'Projects - Projets'!I21</f>
        <v>0</v>
      </c>
      <c r="G4" s="315">
        <f>'Projects - Projets'!K21</f>
        <v>0</v>
      </c>
      <c r="H4" s="42">
        <f>'Projects - Projets'!C38</f>
        <v>0</v>
      </c>
      <c r="I4" s="42">
        <f>'Projects - Projets'!E38</f>
        <v>0</v>
      </c>
      <c r="J4" s="316">
        <f>'Projects - Projets'!G38</f>
        <v>0</v>
      </c>
      <c r="K4" s="317">
        <f>'Projects - Projets'!I38/1000</f>
        <v>0</v>
      </c>
      <c r="L4" s="42">
        <f>'Projects - Projets'!K38</f>
        <v>0</v>
      </c>
      <c r="M4" s="42">
        <f>'Projects - Projets'!C49</f>
        <v>0</v>
      </c>
      <c r="N4" s="317">
        <f>'Projects - Projets'!K49/1000</f>
        <v>0</v>
      </c>
    </row>
    <row r="5" spans="1:14" x14ac:dyDescent="0.2">
      <c r="A5" s="42">
        <f t="shared" si="0"/>
        <v>0</v>
      </c>
      <c r="B5" s="42">
        <v>4</v>
      </c>
      <c r="C5" s="42">
        <f>'Projects - Projets'!C22</f>
        <v>0</v>
      </c>
      <c r="D5" s="42">
        <f>'Projects - Projets'!E22</f>
        <v>0</v>
      </c>
      <c r="E5" s="42">
        <f>'Projects - Projets'!G22</f>
        <v>0</v>
      </c>
      <c r="F5" s="42">
        <f>'Projects - Projets'!I22</f>
        <v>0</v>
      </c>
      <c r="G5" s="315">
        <f>'Projects - Projets'!K22</f>
        <v>0</v>
      </c>
      <c r="H5" s="42">
        <f>'Projects - Projets'!C39</f>
        <v>0</v>
      </c>
      <c r="I5" s="42">
        <f>'Projects - Projets'!E39</f>
        <v>0</v>
      </c>
      <c r="J5" s="316">
        <f>'Projects - Projets'!G39</f>
        <v>0</v>
      </c>
      <c r="K5" s="317">
        <f>'Projects - Projets'!I39/1000</f>
        <v>0</v>
      </c>
      <c r="L5" s="42">
        <f>'Projects - Projets'!K39</f>
        <v>0</v>
      </c>
      <c r="M5" s="42">
        <f>'Projects - Projets'!C50</f>
        <v>0</v>
      </c>
      <c r="N5" s="317">
        <f>'Projects - Projets'!K50/1000</f>
        <v>0</v>
      </c>
    </row>
    <row r="6" spans="1:14" x14ac:dyDescent="0.2">
      <c r="A6" s="42">
        <f t="shared" si="0"/>
        <v>0</v>
      </c>
      <c r="B6" s="42">
        <v>5</v>
      </c>
      <c r="C6" s="42">
        <f>'Projects - Projets'!C23</f>
        <v>0</v>
      </c>
      <c r="D6" s="42">
        <f>'Projects - Projets'!E23</f>
        <v>0</v>
      </c>
      <c r="E6" s="42">
        <f>'Projects - Projets'!G23</f>
        <v>0</v>
      </c>
      <c r="F6" s="42">
        <f>'Projects - Projets'!I23</f>
        <v>0</v>
      </c>
      <c r="G6" s="315">
        <f>'Projects - Projets'!K23</f>
        <v>0</v>
      </c>
      <c r="H6" s="42">
        <f>'Projects - Projets'!C40</f>
        <v>0</v>
      </c>
      <c r="I6" s="42">
        <f>'Projects - Projets'!E40</f>
        <v>0</v>
      </c>
      <c r="J6" s="316">
        <f>'Projects - Projets'!G40</f>
        <v>0</v>
      </c>
      <c r="K6" s="317">
        <f>'Projects - Projets'!I40/1000</f>
        <v>0</v>
      </c>
      <c r="L6" s="42">
        <f>'Projects - Projets'!K40</f>
        <v>0</v>
      </c>
      <c r="M6" s="42">
        <f>'Projects - Projets'!C51</f>
        <v>0</v>
      </c>
      <c r="N6" s="317">
        <f>'Projects - Projets'!K51/1000</f>
        <v>0</v>
      </c>
    </row>
    <row r="7" spans="1:14" x14ac:dyDescent="0.2">
      <c r="A7" s="42">
        <f t="shared" si="0"/>
        <v>0</v>
      </c>
      <c r="B7" s="42">
        <v>6</v>
      </c>
      <c r="C7" s="42">
        <f>'Projects - Projets'!C24</f>
        <v>0</v>
      </c>
      <c r="D7" s="42">
        <f>'Projects - Projets'!E24</f>
        <v>0</v>
      </c>
      <c r="E7" s="42">
        <f>'Projects - Projets'!G24</f>
        <v>0</v>
      </c>
      <c r="F7" s="42">
        <f>'Projects - Projets'!I24</f>
        <v>0</v>
      </c>
      <c r="G7" s="315">
        <f>'Projects - Projets'!K24</f>
        <v>0</v>
      </c>
      <c r="H7" s="42">
        <f>'Projects - Projets'!C41</f>
        <v>0</v>
      </c>
      <c r="I7" s="42">
        <f>'Projects - Projets'!E41</f>
        <v>0</v>
      </c>
      <c r="J7" s="316">
        <f>'Projects - Projets'!G41</f>
        <v>0</v>
      </c>
      <c r="K7" s="317">
        <f>'Projects - Projets'!I41/1000</f>
        <v>0</v>
      </c>
      <c r="L7" s="42">
        <f>'Projects - Projets'!K41</f>
        <v>0</v>
      </c>
      <c r="M7" s="42">
        <f>'Projects - Projets'!C52</f>
        <v>0</v>
      </c>
      <c r="N7" s="317">
        <f>'Projects - Projets'!K52/1000</f>
        <v>0</v>
      </c>
    </row>
    <row r="8" spans="1:14" x14ac:dyDescent="0.2">
      <c r="A8" s="42">
        <f t="shared" si="0"/>
        <v>0</v>
      </c>
      <c r="B8" s="42">
        <v>7</v>
      </c>
      <c r="C8" s="42">
        <f>'Projects - Projets'!C25</f>
        <v>0</v>
      </c>
      <c r="D8" s="42">
        <f>'Projects - Projets'!E25</f>
        <v>0</v>
      </c>
      <c r="E8" s="42">
        <f>'Projects - Projets'!G25</f>
        <v>0</v>
      </c>
      <c r="F8" s="42">
        <f>'Projects - Projets'!I25</f>
        <v>0</v>
      </c>
      <c r="G8" s="315">
        <f>'Projects - Projets'!K25</f>
        <v>0</v>
      </c>
      <c r="H8" s="42">
        <f>'Projects - Projets'!C42</f>
        <v>0</v>
      </c>
      <c r="I8" s="42">
        <f>'Projects - Projets'!E42</f>
        <v>0</v>
      </c>
      <c r="J8" s="316">
        <f>'Projects - Projets'!G42</f>
        <v>0</v>
      </c>
      <c r="K8" s="317">
        <f>'Projects - Projets'!I42/1000</f>
        <v>0</v>
      </c>
      <c r="L8" s="42">
        <f>'Projects - Projets'!K42</f>
        <v>0</v>
      </c>
      <c r="M8" s="42">
        <f>'Projects - Projets'!C53</f>
        <v>0</v>
      </c>
      <c r="N8" s="317">
        <f>'Projects - Projets'!K53/1000</f>
        <v>0</v>
      </c>
    </row>
    <row r="9" spans="1:14" x14ac:dyDescent="0.2">
      <c r="A9" s="42">
        <f t="shared" si="0"/>
        <v>0</v>
      </c>
      <c r="B9" s="42">
        <v>8</v>
      </c>
      <c r="C9" s="42">
        <f>'Projects - Projets'!C26</f>
        <v>0</v>
      </c>
      <c r="D9" s="42">
        <f>'Projects - Projets'!E26</f>
        <v>0</v>
      </c>
      <c r="E9" s="42">
        <f>'Projects - Projets'!G26</f>
        <v>0</v>
      </c>
      <c r="F9" s="42">
        <f>'Projects - Projets'!I26</f>
        <v>0</v>
      </c>
      <c r="G9" s="315">
        <f>'Projects - Projets'!K26</f>
        <v>0</v>
      </c>
      <c r="H9" s="42">
        <f>'Projects - Projets'!C43</f>
        <v>0</v>
      </c>
      <c r="I9" s="42">
        <f>'Projects - Projets'!E43</f>
        <v>0</v>
      </c>
      <c r="J9" s="316">
        <f>'Projects - Projets'!G43</f>
        <v>0</v>
      </c>
      <c r="K9" s="317">
        <f>'Projects - Projets'!I43/1000</f>
        <v>0</v>
      </c>
      <c r="L9" s="42">
        <f>'Projects - Projets'!K43</f>
        <v>0</v>
      </c>
      <c r="M9" s="42">
        <f>'Projects - Projets'!C54</f>
        <v>0</v>
      </c>
      <c r="N9" s="317">
        <f>'Projects - Projets'!K54/1000</f>
        <v>0</v>
      </c>
    </row>
    <row r="10" spans="1:14" x14ac:dyDescent="0.2">
      <c r="A10" s="42">
        <f t="shared" si="0"/>
        <v>0</v>
      </c>
      <c r="B10" s="42">
        <v>9</v>
      </c>
      <c r="C10" s="42">
        <f>'Projects - Projets'!C27</f>
        <v>0</v>
      </c>
      <c r="D10" s="42">
        <f>'Projects - Projets'!E27</f>
        <v>0</v>
      </c>
      <c r="E10" s="42">
        <f>'Projects - Projets'!G27</f>
        <v>0</v>
      </c>
      <c r="F10" s="42">
        <f>'Projects - Projets'!I27</f>
        <v>0</v>
      </c>
      <c r="G10" s="315">
        <f>'Projects - Projets'!K27</f>
        <v>0</v>
      </c>
      <c r="H10" s="42">
        <f>'Projects - Projets'!C44</f>
        <v>0</v>
      </c>
      <c r="I10" s="42">
        <f>'Projects - Projets'!E44</f>
        <v>0</v>
      </c>
      <c r="J10" s="316">
        <f>'Projects - Projets'!G44</f>
        <v>0</v>
      </c>
      <c r="K10" s="317">
        <f>'Projects - Projets'!I44/1000</f>
        <v>0</v>
      </c>
      <c r="L10" s="42">
        <f>'Projects - Projets'!K44</f>
        <v>0</v>
      </c>
      <c r="M10" s="42">
        <f>'Projects - Projets'!C55</f>
        <v>0</v>
      </c>
      <c r="N10" s="317">
        <f>'Projects - Projets'!K55/1000</f>
        <v>0</v>
      </c>
    </row>
    <row r="11" spans="1:14" x14ac:dyDescent="0.2">
      <c r="A11" s="42">
        <f t="shared" si="0"/>
        <v>0</v>
      </c>
      <c r="B11" s="42">
        <v>10</v>
      </c>
      <c r="C11" s="42">
        <f>'Projects - Projets'!C28</f>
        <v>0</v>
      </c>
      <c r="D11" s="42">
        <f>'Projects - Projets'!E28</f>
        <v>0</v>
      </c>
      <c r="E11" s="42">
        <f>'Projects - Projets'!G28</f>
        <v>0</v>
      </c>
      <c r="F11" s="42">
        <f>'Projects - Projets'!I28</f>
        <v>0</v>
      </c>
      <c r="G11" s="315">
        <f>'Projects - Projets'!K28</f>
        <v>0</v>
      </c>
      <c r="H11" s="42">
        <f>'Projects - Projets'!C45</f>
        <v>0</v>
      </c>
      <c r="I11" s="42">
        <f>'Projects - Projets'!E45</f>
        <v>0</v>
      </c>
      <c r="J11" s="316">
        <f>'Projects - Projets'!G45</f>
        <v>0</v>
      </c>
      <c r="K11" s="317">
        <f>'Projects - Projets'!I45/1000</f>
        <v>0</v>
      </c>
      <c r="L11" s="42">
        <f>'Projects - Projets'!K45</f>
        <v>0</v>
      </c>
      <c r="M11" s="42">
        <f>'Projects - Projets'!C56</f>
        <v>0</v>
      </c>
      <c r="N11" s="317">
        <f>'Projects - Projets'!K56/1000</f>
        <v>0</v>
      </c>
    </row>
  </sheetData>
  <sheetProtection algorithmName="SHA-512" hashValue="20QDSSN6pr0u7c589C53eQ81g2Y415auCoRQ5jNJcYjCf37zMt+rPJ1vHjkWmJncUSlPDtbstnnrl8C/Vj7jwQ==" saltValue="wxutV1ZO24qwlhFfDHujHg==" spinCount="100000" sheet="1" objects="1" scenarios="1" selectLockedCell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workbookViewId="0"/>
  </sheetViews>
  <sheetFormatPr defaultColWidth="9.140625" defaultRowHeight="12.75" x14ac:dyDescent="0.2"/>
  <cols>
    <col min="1" max="2" width="9.140625" style="42"/>
    <col min="3" max="3" width="12.42578125" style="42" customWidth="1"/>
    <col min="4" max="4" width="57.85546875" style="42" customWidth="1"/>
    <col min="5" max="15" width="9.140625" style="42"/>
    <col min="16" max="16" width="24" style="42" customWidth="1"/>
    <col min="17" max="16384" width="9.140625" style="42"/>
  </cols>
  <sheetData>
    <row r="3" spans="4:19" x14ac:dyDescent="0.2">
      <c r="D3" s="102" t="s">
        <v>436</v>
      </c>
      <c r="E3" s="45" t="s">
        <v>437</v>
      </c>
      <c r="F3" s="45"/>
      <c r="G3" s="45"/>
      <c r="H3" s="45"/>
      <c r="I3" s="45"/>
      <c r="J3" s="45"/>
      <c r="K3" s="45" t="s">
        <v>41</v>
      </c>
      <c r="L3" s="45"/>
      <c r="M3" s="45"/>
      <c r="N3" s="45"/>
      <c r="O3" s="45"/>
      <c r="P3" s="45"/>
      <c r="Q3" s="45"/>
      <c r="R3" s="45"/>
      <c r="S3" s="46"/>
    </row>
    <row r="4" spans="4:19" x14ac:dyDescent="0.2">
      <c r="D4" s="48"/>
      <c r="F4" s="42">
        <v>2022</v>
      </c>
      <c r="G4" s="42">
        <v>2023</v>
      </c>
      <c r="H4" s="42">
        <v>2024</v>
      </c>
      <c r="L4" s="42">
        <v>2022</v>
      </c>
      <c r="M4" s="42">
        <v>2023</v>
      </c>
      <c r="N4" s="42">
        <v>2024</v>
      </c>
      <c r="S4" s="49"/>
    </row>
    <row r="5" spans="4:19" x14ac:dyDescent="0.2">
      <c r="D5" s="48" t="s">
        <v>439</v>
      </c>
      <c r="J5" s="42" t="s">
        <v>439</v>
      </c>
      <c r="P5" s="42" t="s">
        <v>438</v>
      </c>
      <c r="S5" s="49"/>
    </row>
    <row r="6" spans="4:19" x14ac:dyDescent="0.2">
      <c r="D6" s="48"/>
      <c r="Q6" s="42">
        <v>2022</v>
      </c>
      <c r="R6" s="42">
        <v>2023</v>
      </c>
      <c r="S6" s="49">
        <v>2024</v>
      </c>
    </row>
    <row r="7" spans="4:19" ht="13.5" thickBot="1" x14ac:dyDescent="0.25">
      <c r="D7" s="48" t="s">
        <v>441</v>
      </c>
      <c r="J7" s="42" t="s">
        <v>441</v>
      </c>
      <c r="P7" s="42" t="s">
        <v>440</v>
      </c>
      <c r="S7" s="49"/>
    </row>
    <row r="8" spans="4:19" x14ac:dyDescent="0.2">
      <c r="D8" s="48" t="s">
        <v>442</v>
      </c>
      <c r="F8" s="43">
        <f>'Pro 1'!G21</f>
        <v>0</v>
      </c>
      <c r="G8" s="43">
        <f>'Pro 1'!H21</f>
        <v>0</v>
      </c>
      <c r="H8" s="43">
        <f>'Pro 1'!I21</f>
        <v>0</v>
      </c>
      <c r="J8" s="42" t="s">
        <v>442</v>
      </c>
      <c r="L8" s="43">
        <f>'Pro 1'!G22</f>
        <v>0</v>
      </c>
      <c r="M8" s="43">
        <f>'Pro 1'!H22</f>
        <v>0</v>
      </c>
      <c r="N8" s="43">
        <f>'Pro 1'!I22</f>
        <v>0</v>
      </c>
      <c r="P8" s="42" t="s">
        <v>373</v>
      </c>
      <c r="Q8" s="42">
        <f>'Pro 3'!G384</f>
        <v>0</v>
      </c>
      <c r="R8" s="42">
        <f>'Pro 3'!H384</f>
        <v>0</v>
      </c>
      <c r="S8" s="49">
        <f>'Pro 3'!I384</f>
        <v>0</v>
      </c>
    </row>
    <row r="9" spans="4:19" x14ac:dyDescent="0.2">
      <c r="D9" s="48"/>
      <c r="P9" s="42" t="s">
        <v>367</v>
      </c>
      <c r="Q9" s="42">
        <f>'Pro 3'!G385</f>
        <v>0</v>
      </c>
      <c r="R9" s="42">
        <f>'Pro 3'!H385</f>
        <v>0</v>
      </c>
      <c r="S9" s="49">
        <f>'Pro 3'!I385</f>
        <v>0</v>
      </c>
    </row>
    <row r="10" spans="4:19" x14ac:dyDescent="0.2">
      <c r="D10" s="48" t="s">
        <v>440</v>
      </c>
      <c r="J10" s="42" t="s">
        <v>440</v>
      </c>
      <c r="P10" s="42" t="s">
        <v>443</v>
      </c>
      <c r="S10" s="49"/>
    </row>
    <row r="11" spans="4:19" x14ac:dyDescent="0.2">
      <c r="D11" s="48" t="s">
        <v>164</v>
      </c>
      <c r="F11" s="42">
        <f>'Pro 3'!G24/1000</f>
        <v>0</v>
      </c>
      <c r="G11" s="42">
        <f>'Pro 3'!H24/1000</f>
        <v>0</v>
      </c>
      <c r="H11" s="42">
        <f>'Pro 3'!I24/1000</f>
        <v>0</v>
      </c>
      <c r="J11" s="42" t="s">
        <v>164</v>
      </c>
      <c r="L11" s="42">
        <f>'Pro 3'!G49/1000</f>
        <v>0</v>
      </c>
      <c r="M11" s="42">
        <f>'Pro 3'!H49/1000</f>
        <v>0</v>
      </c>
      <c r="N11" s="42">
        <f>'Pro 3'!I49/1000</f>
        <v>0</v>
      </c>
      <c r="P11" s="42" t="s">
        <v>370</v>
      </c>
      <c r="Q11" s="42">
        <f>'Pro 3'!G387</f>
        <v>0</v>
      </c>
      <c r="R11" s="42">
        <f>'Pro 3'!H387</f>
        <v>0</v>
      </c>
      <c r="S11" s="49">
        <f>'Pro 3'!I387</f>
        <v>0</v>
      </c>
    </row>
    <row r="12" spans="4:19" x14ac:dyDescent="0.2">
      <c r="D12" s="48" t="s">
        <v>444</v>
      </c>
      <c r="F12" s="42">
        <f>SUM('Pro 3'!G25:G28)/1000</f>
        <v>0</v>
      </c>
      <c r="G12" s="42">
        <f>SUM('Pro 3'!H25:H28)/1000</f>
        <v>0</v>
      </c>
      <c r="H12" s="42">
        <f>SUM('Pro 3'!I25:I28)/1000</f>
        <v>0</v>
      </c>
      <c r="J12" s="42" t="s">
        <v>444</v>
      </c>
      <c r="L12" s="42">
        <f>SUM('Pro 3'!G50:G53)/1000</f>
        <v>0</v>
      </c>
      <c r="M12" s="42">
        <f>SUM('Pro 3'!H50:H53)/1000</f>
        <v>0</v>
      </c>
      <c r="N12" s="42">
        <f>SUM('Pro 3'!I50:I53)/1000</f>
        <v>0</v>
      </c>
      <c r="P12" s="42" t="s">
        <v>369</v>
      </c>
      <c r="Q12" s="42">
        <f>'Pro 3'!G388</f>
        <v>0</v>
      </c>
      <c r="R12" s="42">
        <f>'Pro 3'!H388</f>
        <v>0</v>
      </c>
      <c r="S12" s="49">
        <f>'Pro 3'!I388</f>
        <v>0</v>
      </c>
    </row>
    <row r="13" spans="4:19" x14ac:dyDescent="0.2">
      <c r="D13" s="48" t="s">
        <v>445</v>
      </c>
      <c r="F13" s="42">
        <f>'Pro 3'!G30/1000</f>
        <v>0</v>
      </c>
      <c r="G13" s="42">
        <f>'Pro 3'!H30/1000</f>
        <v>0</v>
      </c>
      <c r="H13" s="42">
        <f>'Pro 3'!I30/1000</f>
        <v>0</v>
      </c>
      <c r="J13" s="42" t="s">
        <v>445</v>
      </c>
      <c r="L13" s="42">
        <f>'Pro 3'!G55/1000</f>
        <v>0</v>
      </c>
      <c r="M13" s="42">
        <f>'Pro 3'!H55/1000</f>
        <v>0</v>
      </c>
      <c r="N13" s="42">
        <f>'Pro 3'!I55/1000</f>
        <v>0</v>
      </c>
      <c r="P13" s="42" t="s">
        <v>446</v>
      </c>
      <c r="Q13" s="42">
        <f>'Pro 3'!G389</f>
        <v>0</v>
      </c>
      <c r="R13" s="42">
        <f>'Pro 3'!H389</f>
        <v>0</v>
      </c>
      <c r="S13" s="49">
        <f>'Pro 3'!I389</f>
        <v>0</v>
      </c>
    </row>
    <row r="14" spans="4:19" ht="13.5" thickBot="1" x14ac:dyDescent="0.25">
      <c r="D14" s="48" t="s">
        <v>422</v>
      </c>
      <c r="F14" s="42">
        <f>'Pro 3'!G31/1000</f>
        <v>0</v>
      </c>
      <c r="G14" s="42">
        <f>'Pro 3'!H31/1000</f>
        <v>0</v>
      </c>
      <c r="H14" s="42">
        <f>'Pro 3'!I31/1000</f>
        <v>0</v>
      </c>
      <c r="J14" s="42" t="s">
        <v>422</v>
      </c>
      <c r="L14" s="42">
        <f>'Pro 3'!G56/1000</f>
        <v>0</v>
      </c>
      <c r="M14" s="42">
        <f>'Pro 3'!H56/1000</f>
        <v>0</v>
      </c>
      <c r="N14" s="42">
        <f>'Pro 3'!I56/1000</f>
        <v>0</v>
      </c>
      <c r="P14" s="42" t="s">
        <v>448</v>
      </c>
      <c r="Q14" s="44"/>
      <c r="R14" s="44"/>
      <c r="S14" s="101"/>
    </row>
    <row r="15" spans="4:19" x14ac:dyDescent="0.2">
      <c r="D15" s="48" t="s">
        <v>447</v>
      </c>
      <c r="F15" s="42">
        <f>'Pro 3'!G32/1000</f>
        <v>0</v>
      </c>
      <c r="G15" s="42">
        <f>'Pro 3'!H32/1000</f>
        <v>0</v>
      </c>
      <c r="H15" s="42">
        <f>'Pro 3'!I32/1000</f>
        <v>0</v>
      </c>
      <c r="J15" s="42" t="s">
        <v>447</v>
      </c>
      <c r="L15" s="42">
        <f>'Pro 3'!G57/1000</f>
        <v>0</v>
      </c>
      <c r="M15" s="42">
        <f>'Pro 3'!H57/1000</f>
        <v>0</v>
      </c>
      <c r="N15" s="42">
        <f>'Pro 3'!I57/1000</f>
        <v>0</v>
      </c>
      <c r="S15" s="49"/>
    </row>
    <row r="16" spans="4:19" x14ac:dyDescent="0.2">
      <c r="D16" s="48" t="s">
        <v>449</v>
      </c>
      <c r="J16" s="42" t="s">
        <v>449</v>
      </c>
      <c r="S16" s="49"/>
    </row>
    <row r="17" spans="4:19" x14ac:dyDescent="0.2">
      <c r="D17" s="48"/>
      <c r="S17" s="49"/>
    </row>
    <row r="18" spans="4:19" x14ac:dyDescent="0.2">
      <c r="D18" s="48" t="s">
        <v>450</v>
      </c>
      <c r="J18" s="42" t="s">
        <v>450</v>
      </c>
      <c r="S18" s="49"/>
    </row>
    <row r="19" spans="4:19" x14ac:dyDescent="0.2">
      <c r="D19" s="48"/>
      <c r="S19" s="49"/>
    </row>
    <row r="20" spans="4:19" x14ac:dyDescent="0.2">
      <c r="D20" s="48" t="s">
        <v>451</v>
      </c>
      <c r="F20" s="42" t="e">
        <f>'Pro 2'!G28+'Pro 2'!G31+'Pro 2'!#REF!+'Pro 2'!#REF!</f>
        <v>#REF!</v>
      </c>
      <c r="G20" s="42" t="e">
        <f>'Pro 2'!H28+'Pro 2'!H31+'Pro 2'!#REF!+'Pro 2'!#REF!</f>
        <v>#REF!</v>
      </c>
      <c r="H20" s="42" t="e">
        <f>'Pro 2'!I28+'Pro 2'!I31+'Pro 2'!#REF!+'Pro 2'!#REF!</f>
        <v>#REF!</v>
      </c>
      <c r="J20" s="42" t="s">
        <v>451</v>
      </c>
      <c r="L20" s="42">
        <f>'Pro 2'!G37</f>
        <v>0</v>
      </c>
      <c r="M20" s="42">
        <f>'Pro 2'!H37</f>
        <v>0</v>
      </c>
      <c r="N20" s="42">
        <f>'Pro 2'!I37</f>
        <v>0</v>
      </c>
      <c r="S20" s="49"/>
    </row>
    <row r="21" spans="4:19" x14ac:dyDescent="0.2">
      <c r="D21" s="48"/>
      <c r="S21" s="49"/>
    </row>
    <row r="22" spans="4:19" x14ac:dyDescent="0.2">
      <c r="D22" s="48" t="s">
        <v>440</v>
      </c>
      <c r="J22" s="42" t="s">
        <v>440</v>
      </c>
      <c r="S22" s="49"/>
    </row>
    <row r="23" spans="4:19" x14ac:dyDescent="0.2">
      <c r="D23" s="48" t="s">
        <v>373</v>
      </c>
      <c r="F23" s="42">
        <f>'Pro 3'!G187</f>
        <v>0</v>
      </c>
      <c r="G23" s="42">
        <f>'Pro 3'!H187</f>
        <v>0</v>
      </c>
      <c r="H23" s="42">
        <f>'Pro 3'!I187</f>
        <v>0</v>
      </c>
      <c r="J23" s="42" t="s">
        <v>373</v>
      </c>
      <c r="L23" s="42">
        <f>'Pro 3'!G221</f>
        <v>0</v>
      </c>
      <c r="M23" s="42">
        <f>'Pro 3'!H221</f>
        <v>0</v>
      </c>
      <c r="N23" s="42">
        <f>'Pro 3'!I221</f>
        <v>0</v>
      </c>
      <c r="S23" s="49"/>
    </row>
    <row r="24" spans="4:19" x14ac:dyDescent="0.2">
      <c r="D24" s="48"/>
      <c r="S24" s="49"/>
    </row>
    <row r="25" spans="4:19" x14ac:dyDescent="0.2">
      <c r="D25" s="48"/>
      <c r="S25" s="49"/>
    </row>
    <row r="26" spans="4:19" x14ac:dyDescent="0.2">
      <c r="D26" s="48"/>
      <c r="S26" s="49"/>
    </row>
    <row r="27" spans="4:19" x14ac:dyDescent="0.2">
      <c r="D27" s="48" t="s">
        <v>164</v>
      </c>
      <c r="F27" s="42">
        <f>'Pro 3'!G188</f>
        <v>0</v>
      </c>
      <c r="G27" s="42">
        <f>'Pro 3'!H188</f>
        <v>0</v>
      </c>
      <c r="H27" s="42">
        <f>'Pro 3'!I188</f>
        <v>0</v>
      </c>
      <c r="J27" s="42" t="s">
        <v>164</v>
      </c>
      <c r="L27" s="42">
        <f>'Pro 3'!G222</f>
        <v>0</v>
      </c>
      <c r="M27" s="42">
        <f>'Pro 3'!H222</f>
        <v>0</v>
      </c>
      <c r="N27" s="42">
        <f>'Pro 3'!I222</f>
        <v>0</v>
      </c>
      <c r="S27" s="49"/>
    </row>
    <row r="28" spans="4:19" x14ac:dyDescent="0.2">
      <c r="D28" s="48" t="s">
        <v>449</v>
      </c>
      <c r="J28" s="42" t="s">
        <v>449</v>
      </c>
      <c r="S28" s="49"/>
    </row>
    <row r="29" spans="4:19" x14ac:dyDescent="0.2">
      <c r="D29" s="48" t="s">
        <v>165</v>
      </c>
      <c r="F29" s="42">
        <f>'Pro 3'!G190</f>
        <v>0</v>
      </c>
      <c r="G29" s="42">
        <f>'Pro 3'!H190</f>
        <v>0</v>
      </c>
      <c r="H29" s="42">
        <f>'Pro 3'!I190</f>
        <v>0</v>
      </c>
      <c r="J29" s="42" t="s">
        <v>165</v>
      </c>
      <c r="L29" s="42">
        <f>'Pro 3'!G224</f>
        <v>0</v>
      </c>
      <c r="M29" s="42">
        <f>'Pro 3'!H224</f>
        <v>0</v>
      </c>
      <c r="N29" s="42">
        <f>'Pro 3'!I224</f>
        <v>0</v>
      </c>
      <c r="S29" s="49"/>
    </row>
    <row r="30" spans="4:19" x14ac:dyDescent="0.2">
      <c r="D30" s="48" t="s">
        <v>367</v>
      </c>
      <c r="J30" s="42" t="s">
        <v>367</v>
      </c>
      <c r="S30" s="49"/>
    </row>
    <row r="31" spans="4:19" x14ac:dyDescent="0.2">
      <c r="D31" s="48" t="s">
        <v>443</v>
      </c>
      <c r="J31" s="42" t="s">
        <v>443</v>
      </c>
      <c r="S31" s="49"/>
    </row>
    <row r="32" spans="4:19" x14ac:dyDescent="0.2">
      <c r="D32" s="48" t="s">
        <v>370</v>
      </c>
      <c r="F32" s="42">
        <f>'Pro 3'!G193</f>
        <v>0</v>
      </c>
      <c r="G32" s="42">
        <f>'Pro 3'!H193</f>
        <v>0</v>
      </c>
      <c r="H32" s="42">
        <f>'Pro 3'!I193</f>
        <v>0</v>
      </c>
      <c r="J32" s="42" t="s">
        <v>370</v>
      </c>
      <c r="L32" s="42">
        <f>'Pro 3'!G227</f>
        <v>0</v>
      </c>
      <c r="M32" s="42">
        <f>'Pro 3'!H227</f>
        <v>0</v>
      </c>
      <c r="N32" s="42">
        <f>'Pro 3'!I227</f>
        <v>0</v>
      </c>
      <c r="S32" s="49"/>
    </row>
    <row r="33" spans="4:20" x14ac:dyDescent="0.2">
      <c r="D33" s="48" t="s">
        <v>369</v>
      </c>
      <c r="F33" s="42">
        <f>'Pro 3'!G194</f>
        <v>0</v>
      </c>
      <c r="G33" s="42">
        <f>'Pro 3'!H194</f>
        <v>0</v>
      </c>
      <c r="H33" s="42">
        <f>'Pro 3'!I194</f>
        <v>0</v>
      </c>
      <c r="J33" s="42" t="s">
        <v>369</v>
      </c>
      <c r="L33" s="42">
        <f>'Pro 3'!G228</f>
        <v>0</v>
      </c>
      <c r="M33" s="42">
        <f>'Pro 3'!H228</f>
        <v>0</v>
      </c>
      <c r="N33" s="42">
        <f>'Pro 3'!I228</f>
        <v>0</v>
      </c>
      <c r="S33" s="49"/>
    </row>
    <row r="34" spans="4:20" ht="13.5" thickBot="1" x14ac:dyDescent="0.25">
      <c r="D34" s="48" t="s">
        <v>446</v>
      </c>
      <c r="F34" s="44">
        <f>'Pro 3'!G195</f>
        <v>0</v>
      </c>
      <c r="G34" s="44">
        <f>'Pro 3'!H195</f>
        <v>0</v>
      </c>
      <c r="H34" s="44">
        <f>'Pro 3'!I195</f>
        <v>0</v>
      </c>
      <c r="J34" s="42" t="s">
        <v>446</v>
      </c>
      <c r="L34" s="44">
        <f>'Pro 3'!G229</f>
        <v>0</v>
      </c>
      <c r="M34" s="44">
        <f>'Pro 3'!H229</f>
        <v>0</v>
      </c>
      <c r="N34" s="44">
        <f>'Pro 3'!I229</f>
        <v>0</v>
      </c>
      <c r="S34" s="49"/>
    </row>
    <row r="35" spans="4:20" x14ac:dyDescent="0.2">
      <c r="D35" s="51" t="s">
        <v>448</v>
      </c>
      <c r="E35" s="52"/>
      <c r="F35" s="52"/>
      <c r="G35" s="52"/>
      <c r="H35" s="52"/>
      <c r="I35" s="52"/>
      <c r="J35" s="52" t="s">
        <v>448</v>
      </c>
      <c r="K35" s="52"/>
      <c r="L35" s="52"/>
      <c r="M35" s="52"/>
      <c r="N35" s="52"/>
      <c r="O35" s="52"/>
      <c r="P35" s="52"/>
      <c r="Q35" s="52"/>
      <c r="R35" s="52"/>
      <c r="S35" s="53"/>
    </row>
    <row r="37" spans="4:20" x14ac:dyDescent="0.2">
      <c r="D37" s="102" t="s">
        <v>452</v>
      </c>
      <c r="E37" s="45"/>
      <c r="F37" s="45">
        <v>2022</v>
      </c>
      <c r="G37" s="45">
        <v>2023</v>
      </c>
      <c r="H37" s="45">
        <v>2024</v>
      </c>
      <c r="I37" s="45"/>
      <c r="J37" s="45"/>
      <c r="K37" s="45">
        <v>2022</v>
      </c>
      <c r="L37" s="45">
        <v>2023</v>
      </c>
      <c r="M37" s="46">
        <v>2024</v>
      </c>
    </row>
    <row r="38" spans="4:20" x14ac:dyDescent="0.2">
      <c r="D38" s="104" t="s">
        <v>560</v>
      </c>
      <c r="E38" s="103"/>
      <c r="F38" s="47">
        <f>'Pro 3'!G25</f>
        <v>0</v>
      </c>
      <c r="G38" s="47">
        <f>'Pro 3'!H25</f>
        <v>0</v>
      </c>
      <c r="H38" s="47">
        <f>'Pro 3'!I25</f>
        <v>0</v>
      </c>
      <c r="I38" s="47"/>
      <c r="J38" s="42" t="s">
        <v>453</v>
      </c>
      <c r="K38" s="42">
        <f>'Pro 3'!G50</f>
        <v>0</v>
      </c>
      <c r="L38" s="42">
        <f>'Pro 3'!H50</f>
        <v>0</v>
      </c>
      <c r="M38" s="49">
        <f>'Pro 3'!I50</f>
        <v>0</v>
      </c>
    </row>
    <row r="39" spans="4:20" x14ac:dyDescent="0.2">
      <c r="D39" s="104" t="s">
        <v>561</v>
      </c>
      <c r="E39" s="103"/>
      <c r="F39" s="47">
        <f>'Pro 3'!G26</f>
        <v>0</v>
      </c>
      <c r="G39" s="47">
        <f>'Pro 3'!H26</f>
        <v>0</v>
      </c>
      <c r="H39" s="47">
        <f>'Pro 3'!I26</f>
        <v>0</v>
      </c>
      <c r="I39" s="47"/>
      <c r="J39" s="42" t="s">
        <v>454</v>
      </c>
      <c r="K39" s="42">
        <f>'Pro 3'!G51</f>
        <v>0</v>
      </c>
      <c r="L39" s="42">
        <f>'Pro 3'!H51</f>
        <v>0</v>
      </c>
      <c r="M39" s="49">
        <f>'Pro 3'!I51</f>
        <v>0</v>
      </c>
    </row>
    <row r="40" spans="4:20" x14ac:dyDescent="0.2">
      <c r="D40" s="104" t="s">
        <v>562</v>
      </c>
      <c r="E40" s="103"/>
      <c r="F40" s="47">
        <f>'Pro 3'!G27</f>
        <v>0</v>
      </c>
      <c r="G40" s="47">
        <f>'Pro 3'!H27</f>
        <v>0</v>
      </c>
      <c r="H40" s="47">
        <f>'Pro 3'!I27</f>
        <v>0</v>
      </c>
      <c r="I40" s="47"/>
      <c r="J40" s="42" t="s">
        <v>455</v>
      </c>
      <c r="K40" s="42">
        <f>'Pro 3'!G52</f>
        <v>0</v>
      </c>
      <c r="L40" s="42">
        <f>'Pro 3'!H52</f>
        <v>0</v>
      </c>
      <c r="M40" s="49">
        <f>'Pro 3'!I52</f>
        <v>0</v>
      </c>
    </row>
    <row r="41" spans="4:20" x14ac:dyDescent="0.2">
      <c r="D41" s="105" t="s">
        <v>456</v>
      </c>
      <c r="E41" s="106"/>
      <c r="F41" s="50">
        <f>'Pro 3'!G28</f>
        <v>0</v>
      </c>
      <c r="G41" s="50">
        <f>'Pro 3'!H28</f>
        <v>0</v>
      </c>
      <c r="H41" s="50">
        <f>'Pro 3'!I28</f>
        <v>0</v>
      </c>
      <c r="I41" s="50"/>
      <c r="J41" s="52" t="s">
        <v>456</v>
      </c>
      <c r="K41" s="52">
        <f>'Pro 3'!G53</f>
        <v>0</v>
      </c>
      <c r="L41" s="52">
        <f>'Pro 3'!H53</f>
        <v>0</v>
      </c>
      <c r="M41" s="53">
        <f>'Pro 3'!I53</f>
        <v>0</v>
      </c>
    </row>
    <row r="43" spans="4:20" x14ac:dyDescent="0.2">
      <c r="D43" s="102" t="s">
        <v>457</v>
      </c>
      <c r="E43" s="99">
        <v>2021</v>
      </c>
      <c r="F43" s="99">
        <v>2022</v>
      </c>
      <c r="G43" s="99">
        <v>2023</v>
      </c>
      <c r="H43" s="45"/>
      <c r="I43" s="99"/>
      <c r="J43" s="45"/>
      <c r="K43" s="99"/>
      <c r="L43" s="897" t="s">
        <v>531</v>
      </c>
      <c r="M43" s="897"/>
      <c r="N43" s="897"/>
      <c r="O43" s="897" t="s">
        <v>532</v>
      </c>
      <c r="P43" s="897"/>
      <c r="Q43" s="897"/>
      <c r="R43" s="897" t="s">
        <v>533</v>
      </c>
      <c r="S43" s="897"/>
      <c r="T43" s="898"/>
    </row>
    <row r="44" spans="4:20" x14ac:dyDescent="0.2">
      <c r="D44" s="89"/>
      <c r="E44" s="86"/>
      <c r="F44" s="86"/>
      <c r="G44" s="86"/>
      <c r="I44" s="98"/>
      <c r="J44" s="86" t="s">
        <v>525</v>
      </c>
      <c r="K44" s="86"/>
      <c r="L44" s="42">
        <v>2022</v>
      </c>
      <c r="M44" s="42">
        <v>2023</v>
      </c>
      <c r="N44" s="42">
        <v>2024</v>
      </c>
      <c r="O44" s="42">
        <v>2022</v>
      </c>
      <c r="P44" s="42">
        <v>2023</v>
      </c>
      <c r="Q44" s="42">
        <v>2024</v>
      </c>
      <c r="R44" s="42">
        <v>2022</v>
      </c>
      <c r="S44" s="42">
        <v>2023</v>
      </c>
      <c r="T44" s="49">
        <v>2024</v>
      </c>
    </row>
    <row r="45" spans="4:20" x14ac:dyDescent="0.2">
      <c r="D45" s="90" t="s">
        <v>458</v>
      </c>
      <c r="E45" s="87">
        <f>'Pro 1'!G27</f>
        <v>0</v>
      </c>
      <c r="F45" s="87">
        <f>'Pro 1'!H27</f>
        <v>0</v>
      </c>
      <c r="G45" s="87">
        <f>'Pro 1'!I27</f>
        <v>0</v>
      </c>
      <c r="I45" s="55"/>
      <c r="J45" s="88" t="s">
        <v>526</v>
      </c>
      <c r="K45" s="88" t="s">
        <v>527</v>
      </c>
      <c r="L45" s="42">
        <f>'Pro 1'!G21</f>
        <v>0</v>
      </c>
      <c r="M45" s="42">
        <f>'Pro 1'!H21</f>
        <v>0</v>
      </c>
      <c r="N45" s="42">
        <f>'Pro 1'!I21</f>
        <v>0</v>
      </c>
      <c r="R45" s="42">
        <f>IF(L45=0,0,O45/L45)*1000</f>
        <v>0</v>
      </c>
      <c r="S45" s="42">
        <f>IF(M45=0,0,P45/M45)*1000</f>
        <v>0</v>
      </c>
      <c r="T45" s="49">
        <f>IF(N45=0,0,Q45/N45)*1000</f>
        <v>0</v>
      </c>
    </row>
    <row r="46" spans="4:20" x14ac:dyDescent="0.2">
      <c r="D46" s="89"/>
      <c r="E46" s="54"/>
      <c r="F46" s="54"/>
      <c r="G46" s="54"/>
      <c r="I46" s="97"/>
      <c r="J46" s="88" t="s">
        <v>526</v>
      </c>
      <c r="K46" s="88" t="s">
        <v>528</v>
      </c>
      <c r="L46" s="42" t="e">
        <f>'Pro 1'!#REF!</f>
        <v>#REF!</v>
      </c>
      <c r="M46" s="42" t="e">
        <f>'Pro 1'!#REF!</f>
        <v>#REF!</v>
      </c>
      <c r="N46" s="42" t="e">
        <f>'Pro 1'!#REF!</f>
        <v>#REF!</v>
      </c>
      <c r="R46" s="42" t="e">
        <f>IF(L46=0,0,O46/L46)*1000</f>
        <v>#REF!</v>
      </c>
      <c r="S46" s="42" t="e">
        <f t="shared" ref="S46:T50" si="0">IF(M46=0,0,P46/M46)*1000</f>
        <v>#REF!</v>
      </c>
      <c r="T46" s="49" t="e">
        <f t="shared" si="0"/>
        <v>#REF!</v>
      </c>
    </row>
    <row r="47" spans="4:20" x14ac:dyDescent="0.2">
      <c r="D47" s="90" t="s">
        <v>459</v>
      </c>
      <c r="E47" s="54"/>
      <c r="F47" s="54"/>
      <c r="G47" s="54"/>
      <c r="I47" s="97"/>
      <c r="J47" s="88" t="s">
        <v>529</v>
      </c>
      <c r="K47" s="88" t="s">
        <v>527</v>
      </c>
      <c r="L47" s="42">
        <f>'Pro 1'!G22</f>
        <v>0</v>
      </c>
      <c r="M47" s="42">
        <f>'Pro 1'!H22</f>
        <v>0</v>
      </c>
      <c r="N47" s="42">
        <f>'Pro 1'!I22</f>
        <v>0</v>
      </c>
      <c r="R47" s="42">
        <f>IF(L47=0,0,O47/L47)*1000</f>
        <v>0</v>
      </c>
      <c r="S47" s="42">
        <f t="shared" si="0"/>
        <v>0</v>
      </c>
      <c r="T47" s="49">
        <f t="shared" si="0"/>
        <v>0</v>
      </c>
    </row>
    <row r="48" spans="4:20" x14ac:dyDescent="0.2">
      <c r="D48" s="91" t="s">
        <v>460</v>
      </c>
      <c r="E48" s="55"/>
      <c r="F48" s="55"/>
      <c r="G48" s="55"/>
      <c r="I48" s="55"/>
      <c r="J48" s="88" t="s">
        <v>529</v>
      </c>
      <c r="K48" s="88" t="s">
        <v>528</v>
      </c>
      <c r="L48" s="42" t="e">
        <f>'Pro 1'!#REF!</f>
        <v>#REF!</v>
      </c>
      <c r="M48" s="42" t="e">
        <f>'Pro 1'!#REF!</f>
        <v>#REF!</v>
      </c>
      <c r="N48" s="42" t="e">
        <f>'Pro 1'!#REF!</f>
        <v>#REF!</v>
      </c>
      <c r="R48" s="42" t="e">
        <f>IF(L48=0,0,O48/L48)*1000</f>
        <v>#REF!</v>
      </c>
      <c r="S48" s="42" t="e">
        <f t="shared" si="0"/>
        <v>#REF!</v>
      </c>
      <c r="T48" s="49" t="e">
        <f t="shared" si="0"/>
        <v>#REF!</v>
      </c>
    </row>
    <row r="49" spans="4:20" x14ac:dyDescent="0.2">
      <c r="D49" s="91" t="s">
        <v>461</v>
      </c>
      <c r="E49" s="55"/>
      <c r="F49" s="55"/>
      <c r="G49" s="55"/>
      <c r="I49" s="55"/>
      <c r="J49" s="88" t="s">
        <v>530</v>
      </c>
      <c r="K49" s="88" t="s">
        <v>527</v>
      </c>
      <c r="L49" s="42">
        <f>'Pro 1'!G23</f>
        <v>0</v>
      </c>
      <c r="M49" s="42">
        <f>'Pro 1'!H23</f>
        <v>0</v>
      </c>
      <c r="N49" s="42">
        <f>'Pro 1'!I23</f>
        <v>0</v>
      </c>
      <c r="R49" s="42">
        <f>IF(L49=0,0,O49/L49)*1000</f>
        <v>0</v>
      </c>
      <c r="S49" s="42">
        <f>IF(M49=0,0,P49/M49)*1000</f>
        <v>0</v>
      </c>
      <c r="T49" s="49">
        <f>IF(N49=0,0,Q49/N49)*1000</f>
        <v>0</v>
      </c>
    </row>
    <row r="50" spans="4:20" x14ac:dyDescent="0.2">
      <c r="D50" s="91" t="s">
        <v>462</v>
      </c>
      <c r="E50" s="56" t="e">
        <f>'Pro 1'!G23+'Pro 1'!#REF!</f>
        <v>#REF!</v>
      </c>
      <c r="F50" s="56" t="e">
        <f>'Pro 1'!H23+'Pro 1'!#REF!</f>
        <v>#REF!</v>
      </c>
      <c r="G50" s="56" t="e">
        <f>'Pro 1'!I23+'Pro 1'!#REF!</f>
        <v>#REF!</v>
      </c>
      <c r="I50" s="59"/>
      <c r="J50" s="88" t="s">
        <v>530</v>
      </c>
      <c r="K50" s="88" t="s">
        <v>528</v>
      </c>
      <c r="L50" s="42" t="e">
        <f>'Pro 1'!#REF!</f>
        <v>#REF!</v>
      </c>
      <c r="M50" s="42" t="e">
        <f>'Pro 1'!#REF!</f>
        <v>#REF!</v>
      </c>
      <c r="N50" s="42" t="e">
        <f>'Pro 1'!#REF!</f>
        <v>#REF!</v>
      </c>
      <c r="R50" s="42" t="e">
        <f t="shared" ref="R50" si="1">IF(L50=0,0,O50/L50)*1000</f>
        <v>#REF!</v>
      </c>
      <c r="S50" s="42" t="e">
        <f t="shared" si="0"/>
        <v>#REF!</v>
      </c>
      <c r="T50" s="49" t="e">
        <f t="shared" si="0"/>
        <v>#REF!</v>
      </c>
    </row>
    <row r="51" spans="4:20" x14ac:dyDescent="0.2">
      <c r="D51" s="92" t="s">
        <v>463</v>
      </c>
      <c r="E51" s="57"/>
      <c r="F51" s="57"/>
      <c r="G51" s="57"/>
      <c r="I51" s="59"/>
      <c r="J51" s="59"/>
      <c r="K51" s="57"/>
      <c r="T51" s="49"/>
    </row>
    <row r="52" spans="4:20" ht="12.75" customHeight="1" x14ac:dyDescent="0.2">
      <c r="D52" s="92" t="s">
        <v>464</v>
      </c>
      <c r="E52" s="57">
        <f>'Pro 1'!G25</f>
        <v>0</v>
      </c>
      <c r="F52" s="57">
        <f>'Pro 1'!H25</f>
        <v>0</v>
      </c>
      <c r="G52" s="57">
        <f>'Pro 1'!I25</f>
        <v>0</v>
      </c>
      <c r="I52" s="57"/>
      <c r="J52" s="57"/>
      <c r="K52" s="57"/>
      <c r="T52" s="49"/>
    </row>
    <row r="53" spans="4:20" x14ac:dyDescent="0.2">
      <c r="D53" s="48"/>
      <c r="E53" s="57"/>
      <c r="F53" s="57"/>
      <c r="G53" s="57"/>
      <c r="I53" s="57"/>
      <c r="J53" s="57"/>
      <c r="K53" s="58"/>
      <c r="T53" s="49"/>
    </row>
    <row r="54" spans="4:20" x14ac:dyDescent="0.2">
      <c r="D54" s="90" t="s">
        <v>465</v>
      </c>
      <c r="E54" s="58"/>
      <c r="F54" s="58"/>
      <c r="G54" s="58"/>
      <c r="I54" s="58"/>
      <c r="J54" s="58"/>
      <c r="K54" s="58"/>
      <c r="T54" s="49"/>
    </row>
    <row r="55" spans="4:20" x14ac:dyDescent="0.2">
      <c r="D55" s="91" t="s">
        <v>466</v>
      </c>
      <c r="E55" s="55"/>
      <c r="F55" s="55"/>
      <c r="G55" s="55"/>
      <c r="I55" s="55"/>
      <c r="J55" s="55"/>
      <c r="K55" s="59"/>
      <c r="T55" s="49"/>
    </row>
    <row r="56" spans="4:20" x14ac:dyDescent="0.2">
      <c r="D56" s="91" t="s">
        <v>467</v>
      </c>
      <c r="E56" s="59">
        <f>'Pro 2'!G38/1000</f>
        <v>0</v>
      </c>
      <c r="F56" s="59">
        <f>'Pro 2'!H38/1000</f>
        <v>0</v>
      </c>
      <c r="G56" s="59">
        <f>'Pro 2'!I38/1000</f>
        <v>0</v>
      </c>
      <c r="I56" s="59"/>
      <c r="J56" s="59"/>
      <c r="K56" s="59"/>
      <c r="T56" s="49"/>
    </row>
    <row r="57" spans="4:20" x14ac:dyDescent="0.2">
      <c r="D57" s="92" t="s">
        <v>468</v>
      </c>
      <c r="E57" s="57"/>
      <c r="F57" s="57"/>
      <c r="G57" s="57"/>
      <c r="I57" s="57"/>
      <c r="J57" s="57"/>
      <c r="K57" s="57"/>
      <c r="T57" s="49"/>
    </row>
    <row r="58" spans="4:20" x14ac:dyDescent="0.2">
      <c r="D58" s="48"/>
      <c r="E58" s="58"/>
      <c r="F58" s="58"/>
      <c r="G58" s="58"/>
      <c r="I58" s="58"/>
      <c r="J58" s="58"/>
      <c r="K58" s="57"/>
      <c r="T58" s="49"/>
    </row>
    <row r="59" spans="4:20" x14ac:dyDescent="0.2">
      <c r="D59" s="90" t="s">
        <v>469</v>
      </c>
      <c r="E59" s="58"/>
      <c r="F59" s="58"/>
      <c r="G59" s="58"/>
      <c r="I59" s="58"/>
      <c r="J59" s="58"/>
      <c r="K59" s="58"/>
      <c r="T59" s="49"/>
    </row>
    <row r="60" spans="4:20" x14ac:dyDescent="0.2">
      <c r="D60" s="91" t="s">
        <v>470</v>
      </c>
      <c r="E60" s="59">
        <f>'Pro 3'!G92</f>
        <v>0</v>
      </c>
      <c r="F60" s="59">
        <f>'Pro 3'!H92</f>
        <v>0</v>
      </c>
      <c r="G60" s="59">
        <f>'Pro 3'!I92</f>
        <v>0</v>
      </c>
      <c r="I60" s="59"/>
      <c r="J60" s="59"/>
      <c r="K60" s="59"/>
      <c r="T60" s="49"/>
    </row>
    <row r="61" spans="4:20" x14ac:dyDescent="0.2">
      <c r="D61" s="91" t="s">
        <v>471</v>
      </c>
      <c r="E61" s="59">
        <f>'Pro 3'!G93</f>
        <v>0</v>
      </c>
      <c r="F61" s="59">
        <f>'Pro 3'!H93</f>
        <v>0</v>
      </c>
      <c r="G61" s="59">
        <f>'Pro 3'!I93</f>
        <v>0</v>
      </c>
      <c r="I61" s="59"/>
      <c r="J61" s="59"/>
      <c r="K61" s="59"/>
      <c r="T61" s="49"/>
    </row>
    <row r="62" spans="4:20" x14ac:dyDescent="0.2">
      <c r="D62" s="90" t="s">
        <v>472</v>
      </c>
      <c r="E62" s="57"/>
      <c r="F62" s="57"/>
      <c r="G62" s="57"/>
      <c r="I62" s="57"/>
      <c r="J62" s="57"/>
      <c r="K62" s="57"/>
      <c r="T62" s="49"/>
    </row>
    <row r="63" spans="4:20" x14ac:dyDescent="0.2">
      <c r="D63" s="91"/>
      <c r="E63" s="58"/>
      <c r="F63" s="58"/>
      <c r="G63" s="58"/>
      <c r="I63" s="58"/>
      <c r="J63" s="58"/>
      <c r="K63" s="58"/>
      <c r="T63" s="49"/>
    </row>
    <row r="64" spans="4:20" x14ac:dyDescent="0.2">
      <c r="D64" s="90" t="s">
        <v>473</v>
      </c>
      <c r="E64" s="58"/>
      <c r="F64" s="58"/>
      <c r="G64" s="58"/>
      <c r="I64" s="58"/>
      <c r="J64" s="58"/>
      <c r="K64" s="58"/>
      <c r="T64" s="49"/>
    </row>
    <row r="65" spans="4:20" x14ac:dyDescent="0.2">
      <c r="D65" s="91" t="s">
        <v>470</v>
      </c>
      <c r="E65" s="59">
        <f>'Pro 3'!G98/1000</f>
        <v>0</v>
      </c>
      <c r="F65" s="59">
        <f>'Pro 3'!H98/1000</f>
        <v>0</v>
      </c>
      <c r="G65" s="59">
        <f>'Pro 3'!I98/1000</f>
        <v>0</v>
      </c>
      <c r="I65" s="59"/>
      <c r="J65" s="59"/>
      <c r="K65" s="59"/>
      <c r="T65" s="49"/>
    </row>
    <row r="66" spans="4:20" x14ac:dyDescent="0.2">
      <c r="D66" s="91" t="s">
        <v>471</v>
      </c>
      <c r="E66" s="59">
        <f>'Pro 3'!G99/1000</f>
        <v>0</v>
      </c>
      <c r="F66" s="59">
        <f>'Pro 3'!H99/1000</f>
        <v>0</v>
      </c>
      <c r="G66" s="59">
        <f>'Pro 3'!I99/1000</f>
        <v>0</v>
      </c>
      <c r="I66" s="59"/>
      <c r="J66" s="59"/>
      <c r="K66" s="59"/>
      <c r="T66" s="49"/>
    </row>
    <row r="67" spans="4:20" x14ac:dyDescent="0.2">
      <c r="D67" s="93" t="s">
        <v>474</v>
      </c>
      <c r="E67" s="57"/>
      <c r="F67" s="57"/>
      <c r="G67" s="57"/>
      <c r="I67" s="57"/>
      <c r="J67" s="57"/>
      <c r="K67" s="57"/>
      <c r="T67" s="49"/>
    </row>
    <row r="68" spans="4:20" x14ac:dyDescent="0.2">
      <c r="D68" s="91"/>
      <c r="E68" s="59"/>
      <c r="F68" s="59"/>
      <c r="G68" s="59"/>
      <c r="I68" s="59"/>
      <c r="J68" s="59"/>
      <c r="K68" s="58"/>
      <c r="T68" s="49"/>
    </row>
    <row r="69" spans="4:20" x14ac:dyDescent="0.2">
      <c r="D69" s="90" t="s">
        <v>534</v>
      </c>
      <c r="E69" s="58"/>
      <c r="F69" s="58"/>
      <c r="G69" s="58"/>
      <c r="I69" s="58"/>
      <c r="J69" s="58"/>
      <c r="K69" s="58"/>
      <c r="T69" s="49"/>
    </row>
    <row r="70" spans="4:20" x14ac:dyDescent="0.2">
      <c r="D70" s="91" t="s">
        <v>368</v>
      </c>
      <c r="E70" s="59">
        <f>'Pro 3'!G104+'Pro 3'!G105</f>
        <v>0</v>
      </c>
      <c r="F70" s="59">
        <f>'Pro 3'!H104+'Pro 3'!H105</f>
        <v>0</v>
      </c>
      <c r="G70" s="59">
        <f>'Pro 3'!I104+'Pro 3'!I105</f>
        <v>0</v>
      </c>
      <c r="I70" s="58"/>
      <c r="J70" s="58"/>
      <c r="K70" s="59"/>
      <c r="T70" s="49"/>
    </row>
    <row r="71" spans="4:20" x14ac:dyDescent="0.2">
      <c r="D71" s="91" t="s">
        <v>371</v>
      </c>
      <c r="E71" s="59">
        <f>'Pro 3'!G106</f>
        <v>0</v>
      </c>
      <c r="F71" s="59">
        <f>'Pro 3'!H106</f>
        <v>0</v>
      </c>
      <c r="G71" s="59">
        <f>'Pro 3'!I106</f>
        <v>0</v>
      </c>
      <c r="I71" s="58"/>
      <c r="J71" s="58"/>
      <c r="K71" s="59"/>
      <c r="T71" s="49"/>
    </row>
    <row r="72" spans="4:20" x14ac:dyDescent="0.2">
      <c r="D72" s="94" t="s">
        <v>535</v>
      </c>
      <c r="I72" s="58"/>
      <c r="J72" s="58"/>
      <c r="K72" s="57"/>
      <c r="T72" s="49"/>
    </row>
    <row r="73" spans="4:20" x14ac:dyDescent="0.2">
      <c r="D73" s="94"/>
      <c r="E73" s="57"/>
      <c r="F73" s="57"/>
      <c r="G73" s="57"/>
      <c r="I73" s="57"/>
      <c r="J73" s="57"/>
      <c r="K73" s="59"/>
      <c r="T73" s="49"/>
    </row>
    <row r="74" spans="4:20" x14ac:dyDescent="0.2">
      <c r="D74" s="94" t="s">
        <v>80</v>
      </c>
      <c r="E74" s="59"/>
      <c r="F74" s="59"/>
      <c r="G74" s="59"/>
      <c r="I74" s="59"/>
      <c r="J74" s="59"/>
      <c r="K74" s="58"/>
      <c r="T74" s="49"/>
    </row>
    <row r="75" spans="4:20" x14ac:dyDescent="0.2">
      <c r="D75" s="91" t="s">
        <v>536</v>
      </c>
      <c r="E75" s="59"/>
      <c r="F75" s="59"/>
      <c r="G75" s="59"/>
      <c r="I75" s="59"/>
      <c r="J75" s="59"/>
      <c r="K75" s="59"/>
      <c r="T75" s="49"/>
    </row>
    <row r="76" spans="4:20" x14ac:dyDescent="0.2">
      <c r="D76" s="100" t="s">
        <v>537</v>
      </c>
      <c r="E76" s="57"/>
      <c r="F76" s="57"/>
      <c r="G76" s="57"/>
      <c r="I76" s="57"/>
      <c r="J76" s="57"/>
      <c r="K76" s="59"/>
      <c r="T76" s="49"/>
    </row>
    <row r="77" spans="4:20" x14ac:dyDescent="0.2">
      <c r="D77" s="91"/>
      <c r="E77" s="59"/>
      <c r="F77" s="59"/>
      <c r="G77" s="59"/>
      <c r="I77" s="59"/>
      <c r="J77" s="59"/>
      <c r="K77" s="59"/>
      <c r="T77" s="49"/>
    </row>
    <row r="78" spans="4:20" x14ac:dyDescent="0.2">
      <c r="D78" s="90" t="s">
        <v>538</v>
      </c>
      <c r="E78" s="59"/>
      <c r="F78" s="59"/>
      <c r="G78" s="59"/>
      <c r="I78" s="59"/>
      <c r="J78" s="59"/>
      <c r="K78" s="59"/>
      <c r="T78" s="49"/>
    </row>
    <row r="79" spans="4:20" x14ac:dyDescent="0.2">
      <c r="D79" s="91" t="s">
        <v>466</v>
      </c>
      <c r="E79" s="59">
        <f>'Pro 2'!G40</f>
        <v>0</v>
      </c>
      <c r="F79" s="59">
        <f>'Pro 2'!H40</f>
        <v>0</v>
      </c>
      <c r="G79" s="59">
        <f>'Pro 2'!I40</f>
        <v>0</v>
      </c>
      <c r="I79" s="59"/>
      <c r="J79" s="59"/>
      <c r="K79" s="59"/>
      <c r="T79" s="49"/>
    </row>
    <row r="80" spans="4:20" x14ac:dyDescent="0.2">
      <c r="D80" s="91" t="s">
        <v>539</v>
      </c>
      <c r="E80" s="59">
        <f>'Pro 2'!G41/1000</f>
        <v>0</v>
      </c>
      <c r="F80" s="59">
        <f>'Pro 2'!H41/1000</f>
        <v>0</v>
      </c>
      <c r="G80" s="59">
        <f>'Pro 2'!I41/1000</f>
        <v>0</v>
      </c>
      <c r="I80" s="59"/>
      <c r="J80" s="59"/>
      <c r="K80" s="57"/>
      <c r="T80" s="49"/>
    </row>
    <row r="81" spans="1:26" x14ac:dyDescent="0.2">
      <c r="D81" s="92" t="s">
        <v>540</v>
      </c>
      <c r="E81" s="57"/>
      <c r="F81" s="57"/>
      <c r="G81" s="57"/>
      <c r="H81" s="57"/>
      <c r="I81" s="57"/>
      <c r="J81" s="57"/>
      <c r="K81" s="59"/>
      <c r="T81" s="49"/>
    </row>
    <row r="82" spans="1:26" x14ac:dyDescent="0.2">
      <c r="D82" s="91"/>
      <c r="E82" s="59"/>
      <c r="F82" s="59"/>
      <c r="G82" s="59"/>
      <c r="H82" s="59"/>
      <c r="I82" s="59"/>
      <c r="J82" s="59"/>
      <c r="K82" s="59"/>
      <c r="T82" s="49"/>
    </row>
    <row r="83" spans="1:26" ht="15" customHeight="1" x14ac:dyDescent="0.2">
      <c r="D83" s="91"/>
      <c r="E83" s="59"/>
      <c r="F83" s="59"/>
      <c r="G83" s="59"/>
      <c r="H83" s="901" t="s">
        <v>475</v>
      </c>
      <c r="I83" s="901"/>
      <c r="J83" s="901"/>
      <c r="K83" s="59"/>
      <c r="T83" s="49"/>
    </row>
    <row r="84" spans="1:26" x14ac:dyDescent="0.2">
      <c r="D84" s="91"/>
      <c r="E84" s="86">
        <v>2022</v>
      </c>
      <c r="F84" s="86">
        <v>2023</v>
      </c>
      <c r="G84" s="86">
        <v>2024</v>
      </c>
      <c r="H84" s="86">
        <v>2025</v>
      </c>
      <c r="I84" s="54">
        <v>2026</v>
      </c>
      <c r="J84" s="54">
        <v>2027</v>
      </c>
      <c r="K84" s="54"/>
      <c r="T84" s="49"/>
    </row>
    <row r="85" spans="1:26" x14ac:dyDescent="0.2">
      <c r="D85" s="95" t="s">
        <v>476</v>
      </c>
      <c r="E85" s="96">
        <f>'Pro 3'!E326/1000</f>
        <v>0</v>
      </c>
      <c r="F85" s="96">
        <f>'Pro 3'!F326/1000</f>
        <v>0</v>
      </c>
      <c r="G85" s="96">
        <f>'Pro 3'!G326/1000</f>
        <v>0</v>
      </c>
      <c r="H85" s="96">
        <f>'Pro 3'!H326/1000</f>
        <v>0</v>
      </c>
      <c r="I85" s="96">
        <f>'Pro 3'!I326/1000</f>
        <v>0</v>
      </c>
      <c r="J85" s="96">
        <f>'Pro 3'!J326/1000</f>
        <v>0</v>
      </c>
      <c r="K85" s="96"/>
      <c r="L85" s="52"/>
      <c r="M85" s="52"/>
      <c r="N85" s="52"/>
      <c r="O85" s="52"/>
      <c r="P85" s="52"/>
      <c r="Q85" s="52"/>
      <c r="R85" s="52"/>
      <c r="S85" s="52"/>
      <c r="T85" s="53"/>
    </row>
    <row r="86" spans="1:26" x14ac:dyDescent="0.2">
      <c r="K86" s="59"/>
    </row>
    <row r="87" spans="1:26" x14ac:dyDescent="0.2">
      <c r="D87" s="102" t="s">
        <v>477</v>
      </c>
      <c r="E87" s="45"/>
      <c r="F87" s="45"/>
      <c r="G87" s="45"/>
      <c r="H87" s="45"/>
      <c r="I87" s="45"/>
      <c r="J87" s="45"/>
      <c r="K87" s="107"/>
      <c r="L87" s="45"/>
      <c r="M87" s="45"/>
      <c r="N87" s="45"/>
      <c r="O87" s="45"/>
      <c r="P87" s="45"/>
      <c r="Q87" s="45"/>
      <c r="R87" s="45"/>
      <c r="S87" s="45"/>
      <c r="T87" s="45"/>
      <c r="U87" s="45"/>
      <c r="V87" s="45"/>
      <c r="W87" s="45"/>
      <c r="X87" s="45"/>
      <c r="Y87" s="45"/>
      <c r="Z87" s="46"/>
    </row>
    <row r="88" spans="1:26" ht="13.5" thickBot="1" x14ac:dyDescent="0.25">
      <c r="D88" s="108" t="s">
        <v>478</v>
      </c>
      <c r="E88" s="60" t="s">
        <v>479</v>
      </c>
      <c r="F88" s="60" t="s">
        <v>480</v>
      </c>
      <c r="G88" s="60" t="s">
        <v>481</v>
      </c>
      <c r="H88" s="60" t="s">
        <v>482</v>
      </c>
      <c r="I88" s="60" t="s">
        <v>483</v>
      </c>
      <c r="J88" s="60" t="s">
        <v>484</v>
      </c>
      <c r="K88" s="61" t="s">
        <v>485</v>
      </c>
      <c r="L88" s="61" t="s">
        <v>541</v>
      </c>
      <c r="M88" s="60" t="s">
        <v>486</v>
      </c>
      <c r="N88" s="60" t="s">
        <v>487</v>
      </c>
      <c r="O88" s="60" t="s">
        <v>542</v>
      </c>
      <c r="P88" s="62" t="s">
        <v>488</v>
      </c>
      <c r="Q88" s="62" t="s">
        <v>489</v>
      </c>
      <c r="R88" s="62" t="s">
        <v>490</v>
      </c>
      <c r="S88" s="62" t="s">
        <v>491</v>
      </c>
      <c r="T88" s="62" t="s">
        <v>492</v>
      </c>
      <c r="U88" s="62" t="s">
        <v>493</v>
      </c>
      <c r="X88" s="42">
        <v>2022</v>
      </c>
      <c r="Y88" s="42">
        <v>2023</v>
      </c>
      <c r="Z88" s="49">
        <v>2024</v>
      </c>
    </row>
    <row r="89" spans="1:26" x14ac:dyDescent="0.2">
      <c r="D89" s="109">
        <f>Intro!D78</f>
        <v>0</v>
      </c>
      <c r="E89" s="110" t="s">
        <v>494</v>
      </c>
      <c r="F89" s="110" t="s">
        <v>495</v>
      </c>
      <c r="G89" s="110" t="s">
        <v>495</v>
      </c>
      <c r="H89" s="110" t="s">
        <v>495</v>
      </c>
      <c r="I89" s="110" t="s">
        <v>496</v>
      </c>
      <c r="J89" s="110" t="s">
        <v>496</v>
      </c>
      <c r="K89" s="110"/>
      <c r="L89" s="110" t="s">
        <v>496</v>
      </c>
      <c r="M89" s="110" t="s">
        <v>498</v>
      </c>
      <c r="N89" s="110" t="s">
        <v>499</v>
      </c>
      <c r="O89" s="110" t="s">
        <v>527</v>
      </c>
      <c r="P89" s="63">
        <f>'Pro 2'!G28</f>
        <v>0</v>
      </c>
      <c r="Q89" s="64">
        <f>'Pro 2'!H28</f>
        <v>0</v>
      </c>
      <c r="R89" s="64">
        <f>'Pro 2'!I28</f>
        <v>0</v>
      </c>
      <c r="S89" s="63">
        <f>'Pro 2'!G29</f>
        <v>0</v>
      </c>
      <c r="T89" s="64">
        <f>'Pro 2'!H29</f>
        <v>0</v>
      </c>
      <c r="U89" s="64">
        <f>'Pro 2'!I29</f>
        <v>0</v>
      </c>
      <c r="W89" s="42" t="s">
        <v>543</v>
      </c>
      <c r="X89" s="42">
        <f>'Pro 2'!G140*0.01</f>
        <v>0</v>
      </c>
      <c r="Y89" s="42">
        <f>'Pro 2'!H140*0.01</f>
        <v>0</v>
      </c>
      <c r="Z89" s="49">
        <f>'Pro 2'!I140*0.01</f>
        <v>0</v>
      </c>
    </row>
    <row r="90" spans="1:26" x14ac:dyDescent="0.2">
      <c r="D90" s="111">
        <f t="shared" ref="D90:E92" si="2">D89</f>
        <v>0</v>
      </c>
      <c r="E90" s="112" t="str">
        <f t="shared" si="2"/>
        <v>1 - Producer</v>
      </c>
      <c r="F90" s="112" t="s">
        <v>495</v>
      </c>
      <c r="G90" s="112" t="s">
        <v>495</v>
      </c>
      <c r="H90" s="112" t="s">
        <v>495</v>
      </c>
      <c r="I90" s="112" t="str">
        <f t="shared" ref="I90:J92" si="3">I89</f>
        <v>DOM</v>
      </c>
      <c r="J90" s="112" t="str">
        <f t="shared" si="3"/>
        <v>DOM</v>
      </c>
      <c r="K90" s="112"/>
      <c r="L90" s="112" t="str">
        <f>L89</f>
        <v>DOM</v>
      </c>
      <c r="M90" s="112" t="s">
        <v>498</v>
      </c>
      <c r="N90" s="112" t="s">
        <v>500</v>
      </c>
      <c r="O90" s="112" t="s">
        <v>527</v>
      </c>
      <c r="P90" s="65">
        <f>'Pro 2'!G31</f>
        <v>0</v>
      </c>
      <c r="Q90" s="112">
        <f>'Pro 2'!H31</f>
        <v>0</v>
      </c>
      <c r="R90" s="112">
        <f>'Pro 2'!I31</f>
        <v>0</v>
      </c>
      <c r="S90" s="65">
        <f>'Pro 2'!G32</f>
        <v>0</v>
      </c>
      <c r="T90" s="112">
        <f>'Pro 2'!H32</f>
        <v>0</v>
      </c>
      <c r="U90" s="112">
        <f>'Pro 2'!I32</f>
        <v>0</v>
      </c>
      <c r="Z90" s="49"/>
    </row>
    <row r="91" spans="1:26" x14ac:dyDescent="0.2">
      <c r="D91" s="113">
        <f t="shared" si="2"/>
        <v>0</v>
      </c>
      <c r="E91" s="114" t="str">
        <f t="shared" si="2"/>
        <v>1 - Producer</v>
      </c>
      <c r="F91" s="114" t="s">
        <v>495</v>
      </c>
      <c r="G91" s="114" t="s">
        <v>495</v>
      </c>
      <c r="H91" s="114" t="s">
        <v>495</v>
      </c>
      <c r="I91" s="114" t="str">
        <f t="shared" si="3"/>
        <v>DOM</v>
      </c>
      <c r="J91" s="114" t="str">
        <f t="shared" si="3"/>
        <v>DOM</v>
      </c>
      <c r="K91" s="114"/>
      <c r="L91" s="114" t="str">
        <f>L90</f>
        <v>DOM</v>
      </c>
      <c r="M91" s="114" t="s">
        <v>498</v>
      </c>
      <c r="N91" s="114" t="s">
        <v>499</v>
      </c>
      <c r="O91" s="114" t="s">
        <v>528</v>
      </c>
      <c r="P91" s="66" t="e">
        <f>'Pro 2'!#REF!</f>
        <v>#REF!</v>
      </c>
      <c r="Q91" s="114" t="e">
        <f>'Pro 2'!#REF!</f>
        <v>#REF!</v>
      </c>
      <c r="R91" s="114" t="e">
        <f>'Pro 2'!#REF!</f>
        <v>#REF!</v>
      </c>
      <c r="S91" s="66" t="e">
        <f>'Pro 2'!#REF!</f>
        <v>#REF!</v>
      </c>
      <c r="T91" s="114" t="e">
        <f>'Pro 2'!#REF!</f>
        <v>#REF!</v>
      </c>
      <c r="U91" s="114" t="e">
        <f>'Pro 2'!#REF!</f>
        <v>#REF!</v>
      </c>
      <c r="Z91" s="49"/>
    </row>
    <row r="92" spans="1:26" x14ac:dyDescent="0.2">
      <c r="D92" s="115">
        <f t="shared" si="2"/>
        <v>0</v>
      </c>
      <c r="E92" s="116" t="str">
        <f t="shared" si="2"/>
        <v>1 - Producer</v>
      </c>
      <c r="F92" s="116" t="s">
        <v>495</v>
      </c>
      <c r="G92" s="116" t="s">
        <v>495</v>
      </c>
      <c r="H92" s="116" t="s">
        <v>495</v>
      </c>
      <c r="I92" s="116" t="str">
        <f t="shared" si="3"/>
        <v>DOM</v>
      </c>
      <c r="J92" s="116" t="str">
        <f t="shared" si="3"/>
        <v>DOM</v>
      </c>
      <c r="K92" s="116"/>
      <c r="L92" s="116" t="str">
        <f>L91</f>
        <v>DOM</v>
      </c>
      <c r="M92" s="116" t="s">
        <v>498</v>
      </c>
      <c r="N92" s="116" t="s">
        <v>500</v>
      </c>
      <c r="O92" s="116" t="s">
        <v>528</v>
      </c>
      <c r="P92" s="117" t="e">
        <f>'Pro 2'!#REF!</f>
        <v>#REF!</v>
      </c>
      <c r="Q92" s="116" t="e">
        <f>'Pro 2'!#REF!</f>
        <v>#REF!</v>
      </c>
      <c r="R92" s="116" t="e">
        <f>'Pro 2'!#REF!</f>
        <v>#REF!</v>
      </c>
      <c r="S92" s="117" t="e">
        <f>'Pro 2'!#REF!</f>
        <v>#REF!</v>
      </c>
      <c r="T92" s="116" t="e">
        <f>'Pro 2'!#REF!</f>
        <v>#REF!</v>
      </c>
      <c r="U92" s="116" t="e">
        <f>'Pro 2'!#REF!</f>
        <v>#REF!</v>
      </c>
      <c r="V92" s="52"/>
      <c r="W92" s="52"/>
      <c r="X92" s="52"/>
      <c r="Y92" s="52"/>
      <c r="Z92" s="53"/>
    </row>
    <row r="93" spans="1:26" x14ac:dyDescent="0.2">
      <c r="L93" s="59"/>
    </row>
    <row r="94" spans="1:26" ht="13.5" thickBot="1" x14ac:dyDescent="0.25">
      <c r="D94" s="102" t="s">
        <v>501</v>
      </c>
      <c r="E94" s="45"/>
      <c r="F94" s="45"/>
      <c r="G94" s="45"/>
      <c r="H94" s="45"/>
      <c r="I94" s="45"/>
      <c r="J94" s="45"/>
      <c r="K94" s="45"/>
      <c r="L94" s="45"/>
      <c r="M94" s="45"/>
      <c r="N94" s="46"/>
    </row>
    <row r="95" spans="1:26" ht="15" customHeight="1" x14ac:dyDescent="0.2">
      <c r="A95" s="42" t="s">
        <v>545</v>
      </c>
      <c r="D95" s="118"/>
      <c r="E95" s="67"/>
      <c r="F95" s="67"/>
      <c r="G95" s="67"/>
      <c r="H95" s="67"/>
      <c r="I95" s="899" t="s">
        <v>544</v>
      </c>
      <c r="J95" s="899"/>
      <c r="K95" s="899"/>
      <c r="L95" s="899" t="s">
        <v>546</v>
      </c>
      <c r="M95" s="899"/>
      <c r="N95" s="900"/>
    </row>
    <row r="96" spans="1:26" ht="12.75" customHeight="1" x14ac:dyDescent="0.2">
      <c r="D96" s="119" t="s">
        <v>478</v>
      </c>
      <c r="E96" s="120" t="s">
        <v>502</v>
      </c>
      <c r="F96" s="120" t="s">
        <v>503</v>
      </c>
      <c r="G96" s="120" t="s">
        <v>504</v>
      </c>
      <c r="H96" s="120" t="s">
        <v>505</v>
      </c>
      <c r="I96" s="121">
        <v>2022</v>
      </c>
      <c r="J96" s="121">
        <v>2023</v>
      </c>
      <c r="K96" s="121">
        <v>2024</v>
      </c>
      <c r="L96" s="121">
        <f>I96</f>
        <v>2022</v>
      </c>
      <c r="M96" s="121">
        <f>J96</f>
        <v>2023</v>
      </c>
      <c r="N96" s="122">
        <f>K96</f>
        <v>2024</v>
      </c>
    </row>
    <row r="97" spans="4:30" x14ac:dyDescent="0.2">
      <c r="D97" s="123">
        <f>D89</f>
        <v>0</v>
      </c>
      <c r="E97" s="124" t="s">
        <v>494</v>
      </c>
      <c r="F97" s="124" t="s">
        <v>437</v>
      </c>
      <c r="G97" s="124" t="s">
        <v>506</v>
      </c>
      <c r="H97" s="68" t="s">
        <v>507</v>
      </c>
      <c r="I97" s="42">
        <f>F8*L97*0.01</f>
        <v>0</v>
      </c>
      <c r="J97" s="42">
        <f t="shared" ref="J97:K101" si="4">G8*M97*0.01</f>
        <v>0</v>
      </c>
      <c r="K97" s="42">
        <f t="shared" si="4"/>
        <v>0</v>
      </c>
      <c r="L97" s="42">
        <f>'Pro 2'!G214</f>
        <v>0</v>
      </c>
      <c r="M97" s="42">
        <f>'Pro 2'!H214</f>
        <v>0</v>
      </c>
      <c r="N97" s="49">
        <f>'Pro 2'!I214</f>
        <v>0</v>
      </c>
    </row>
    <row r="98" spans="4:30" x14ac:dyDescent="0.2">
      <c r="D98" s="125">
        <f>D97</f>
        <v>0</v>
      </c>
      <c r="E98" s="126" t="s">
        <v>494</v>
      </c>
      <c r="F98" s="126" t="str">
        <f t="shared" ref="F98:F101" si="5">F97</f>
        <v>Domestic Sales</v>
      </c>
      <c r="G98" s="126" t="s">
        <v>508</v>
      </c>
      <c r="H98" s="69" t="s">
        <v>509</v>
      </c>
      <c r="I98" s="42">
        <f t="shared" ref="I98:I101" si="6">F9*L98*0.01</f>
        <v>0</v>
      </c>
      <c r="J98" s="42">
        <f t="shared" si="4"/>
        <v>0</v>
      </c>
      <c r="K98" s="42">
        <f t="shared" si="4"/>
        <v>0</v>
      </c>
      <c r="L98" s="42">
        <f>'Pro 2'!G215</f>
        <v>0</v>
      </c>
      <c r="M98" s="42">
        <f>'Pro 2'!H215</f>
        <v>0</v>
      </c>
      <c r="N98" s="49">
        <f>'Pro 2'!I215</f>
        <v>0</v>
      </c>
    </row>
    <row r="99" spans="4:30" x14ac:dyDescent="0.2">
      <c r="D99" s="125">
        <f t="shared" ref="D99:D101" si="7">D98</f>
        <v>0</v>
      </c>
      <c r="E99" s="126" t="s">
        <v>494</v>
      </c>
      <c r="F99" s="126" t="str">
        <f t="shared" si="5"/>
        <v>Domestic Sales</v>
      </c>
      <c r="G99" s="126" t="s">
        <v>510</v>
      </c>
      <c r="H99" s="69" t="s">
        <v>511</v>
      </c>
      <c r="I99" s="42">
        <f t="shared" si="6"/>
        <v>0</v>
      </c>
      <c r="J99" s="42">
        <f t="shared" si="4"/>
        <v>0</v>
      </c>
      <c r="K99" s="42">
        <f t="shared" si="4"/>
        <v>0</v>
      </c>
      <c r="L99" s="42">
        <f>'Pro 2'!G216</f>
        <v>0</v>
      </c>
      <c r="M99" s="42">
        <f>'Pro 2'!H216</f>
        <v>0</v>
      </c>
      <c r="N99" s="49">
        <f>'Pro 2'!I216</f>
        <v>0</v>
      </c>
    </row>
    <row r="100" spans="4:30" x14ac:dyDescent="0.2">
      <c r="D100" s="125">
        <f t="shared" si="7"/>
        <v>0</v>
      </c>
      <c r="E100" s="126" t="s">
        <v>494</v>
      </c>
      <c r="F100" s="126" t="str">
        <f t="shared" si="5"/>
        <v>Domestic Sales</v>
      </c>
      <c r="G100" s="126" t="s">
        <v>512</v>
      </c>
      <c r="H100" s="69" t="s">
        <v>513</v>
      </c>
      <c r="I100" s="42">
        <f t="shared" si="6"/>
        <v>0</v>
      </c>
      <c r="J100" s="42">
        <f t="shared" si="4"/>
        <v>0</v>
      </c>
      <c r="K100" s="42">
        <f t="shared" si="4"/>
        <v>0</v>
      </c>
      <c r="L100" s="42">
        <f>'Pro 2'!G217</f>
        <v>0</v>
      </c>
      <c r="M100" s="42">
        <f>'Pro 2'!H217</f>
        <v>0</v>
      </c>
      <c r="N100" s="49">
        <f>'Pro 2'!I217</f>
        <v>0</v>
      </c>
    </row>
    <row r="101" spans="4:30" x14ac:dyDescent="0.2">
      <c r="D101" s="127">
        <f t="shared" si="7"/>
        <v>0</v>
      </c>
      <c r="E101" s="128" t="s">
        <v>494</v>
      </c>
      <c r="F101" s="128" t="str">
        <f t="shared" si="5"/>
        <v>Domestic Sales</v>
      </c>
      <c r="G101" s="128" t="s">
        <v>514</v>
      </c>
      <c r="H101" s="129" t="s">
        <v>515</v>
      </c>
      <c r="I101" s="52">
        <f t="shared" si="6"/>
        <v>0</v>
      </c>
      <c r="J101" s="52">
        <f t="shared" si="4"/>
        <v>0</v>
      </c>
      <c r="K101" s="52">
        <f t="shared" si="4"/>
        <v>0</v>
      </c>
      <c r="L101" s="52">
        <f>'Pro 2'!G218</f>
        <v>0</v>
      </c>
      <c r="M101" s="52">
        <f>'Pro 2'!H218</f>
        <v>0</v>
      </c>
      <c r="N101" s="53">
        <f>'Pro 2'!I218</f>
        <v>0</v>
      </c>
    </row>
    <row r="104" spans="4:30" x14ac:dyDescent="0.2">
      <c r="D104" s="102" t="s">
        <v>547</v>
      </c>
      <c r="E104" s="45"/>
      <c r="F104" s="45"/>
      <c r="G104" s="45"/>
      <c r="H104" s="45"/>
      <c r="I104" s="45"/>
      <c r="J104" s="45"/>
      <c r="K104" s="45"/>
      <c r="L104" s="45"/>
      <c r="M104" s="45"/>
      <c r="N104" s="45"/>
      <c r="O104" s="45"/>
      <c r="P104" s="895" t="s">
        <v>531</v>
      </c>
      <c r="Q104" s="895"/>
      <c r="R104" s="895"/>
      <c r="S104" s="895"/>
      <c r="T104" s="895"/>
      <c r="U104" s="895"/>
      <c r="V104" s="895"/>
      <c r="W104" s="895" t="s">
        <v>557</v>
      </c>
      <c r="X104" s="895"/>
      <c r="Y104" s="895"/>
      <c r="Z104" s="895"/>
      <c r="AA104" s="895"/>
      <c r="AB104" s="895"/>
      <c r="AC104" s="895"/>
      <c r="AD104" s="896"/>
    </row>
    <row r="105" spans="4:30" ht="25.5" x14ac:dyDescent="0.2">
      <c r="D105" s="130" t="s">
        <v>478</v>
      </c>
      <c r="E105" s="70" t="s">
        <v>479</v>
      </c>
      <c r="F105" s="70" t="s">
        <v>482</v>
      </c>
      <c r="G105" s="70" t="s">
        <v>484</v>
      </c>
      <c r="H105" s="70" t="s">
        <v>485</v>
      </c>
      <c r="I105" s="71" t="s">
        <v>548</v>
      </c>
      <c r="J105" s="71" t="s">
        <v>541</v>
      </c>
      <c r="K105" s="70" t="s">
        <v>516</v>
      </c>
      <c r="L105" s="71" t="s">
        <v>517</v>
      </c>
      <c r="M105" s="70" t="s">
        <v>518</v>
      </c>
      <c r="N105" s="71" t="s">
        <v>486</v>
      </c>
      <c r="O105" s="72" t="s">
        <v>549</v>
      </c>
      <c r="P105" s="72" t="s">
        <v>550</v>
      </c>
      <c r="Q105" s="72" t="s">
        <v>551</v>
      </c>
      <c r="R105" s="72" t="s">
        <v>552</v>
      </c>
      <c r="S105" s="72" t="s">
        <v>553</v>
      </c>
      <c r="T105" s="72" t="s">
        <v>554</v>
      </c>
      <c r="U105" s="72" t="s">
        <v>555</v>
      </c>
      <c r="V105" s="73" t="s">
        <v>556</v>
      </c>
      <c r="W105" s="72" t="s">
        <v>549</v>
      </c>
      <c r="X105" s="72" t="s">
        <v>550</v>
      </c>
      <c r="Y105" s="72" t="s">
        <v>551</v>
      </c>
      <c r="Z105" s="72" t="s">
        <v>552</v>
      </c>
      <c r="AA105" s="72" t="s">
        <v>553</v>
      </c>
      <c r="AB105" s="72" t="s">
        <v>554</v>
      </c>
      <c r="AC105" s="72" t="s">
        <v>555</v>
      </c>
      <c r="AD105" s="131" t="s">
        <v>556</v>
      </c>
    </row>
    <row r="106" spans="4:30" x14ac:dyDescent="0.2">
      <c r="D106" s="132">
        <f>D97</f>
        <v>0</v>
      </c>
      <c r="E106" s="74" t="s">
        <v>494</v>
      </c>
      <c r="F106" s="74" t="s">
        <v>519</v>
      </c>
      <c r="G106" s="74" t="s">
        <v>496</v>
      </c>
      <c r="H106" s="74" t="s">
        <v>496</v>
      </c>
      <c r="I106" s="74" t="s">
        <v>496</v>
      </c>
      <c r="J106" s="74" t="s">
        <v>496</v>
      </c>
      <c r="K106" s="75" t="s">
        <v>520</v>
      </c>
      <c r="L106" s="74">
        <f>'Pro 2'!C227</f>
        <v>0</v>
      </c>
      <c r="M106" s="74" t="e">
        <v>#N/A</v>
      </c>
      <c r="N106" s="74" t="s">
        <v>497</v>
      </c>
      <c r="O106" s="76">
        <f>'Pro 2'!E239</f>
        <v>0</v>
      </c>
      <c r="P106" s="76">
        <f>'Pro 2'!F239</f>
        <v>0</v>
      </c>
      <c r="Q106" s="76">
        <f>'Pro 2'!G239</f>
        <v>0</v>
      </c>
      <c r="R106" s="76">
        <f>'Pro 2'!H239</f>
        <v>0</v>
      </c>
      <c r="S106" s="76">
        <f>'Pro 2'!I239</f>
        <v>0</v>
      </c>
      <c r="T106" s="76">
        <f>'Pro 2'!J239</f>
        <v>0</v>
      </c>
      <c r="U106" s="76">
        <f>'Pro 2'!K239</f>
        <v>0</v>
      </c>
      <c r="V106" s="77">
        <f>'Pro 2'!L239</f>
        <v>0</v>
      </c>
      <c r="W106" s="76">
        <f>'Pro 2'!E240</f>
        <v>0</v>
      </c>
      <c r="X106" s="76">
        <f>'Pro 2'!F240</f>
        <v>0</v>
      </c>
      <c r="Y106" s="76">
        <f>'Pro 2'!G240</f>
        <v>0</v>
      </c>
      <c r="Z106" s="76">
        <f>'Pro 2'!H240</f>
        <v>0</v>
      </c>
      <c r="AA106" s="76">
        <f>'Pro 2'!I240</f>
        <v>0</v>
      </c>
      <c r="AB106" s="76">
        <f>'Pro 2'!J240</f>
        <v>0</v>
      </c>
      <c r="AC106" s="76">
        <f>'Pro 2'!K240</f>
        <v>0</v>
      </c>
      <c r="AD106" s="133">
        <f>'Pro 2'!L240</f>
        <v>0</v>
      </c>
    </row>
    <row r="107" spans="4:30" x14ac:dyDescent="0.2">
      <c r="D107" s="134">
        <f>D106</f>
        <v>0</v>
      </c>
      <c r="E107" s="78" t="s">
        <v>494</v>
      </c>
      <c r="F107" s="78" t="s">
        <v>519</v>
      </c>
      <c r="G107" s="78" t="s">
        <v>496</v>
      </c>
      <c r="H107" s="78" t="s">
        <v>496</v>
      </c>
      <c r="I107" s="78" t="s">
        <v>496</v>
      </c>
      <c r="J107" s="78" t="str">
        <f>J106</f>
        <v>DOM</v>
      </c>
      <c r="K107" s="79" t="s">
        <v>521</v>
      </c>
      <c r="L107" s="78">
        <f>'Pro 2'!E228</f>
        <v>0</v>
      </c>
      <c r="M107" s="78" t="e">
        <v>#N/A</v>
      </c>
      <c r="N107" s="78" t="str">
        <f t="shared" ref="N107:N110" si="8">N106</f>
        <v>Dom</v>
      </c>
      <c r="O107" s="80">
        <f>'Pro 2'!E243</f>
        <v>0</v>
      </c>
      <c r="P107" s="80">
        <f>'Pro 2'!F243</f>
        <v>0</v>
      </c>
      <c r="Q107" s="80">
        <f>'Pro 2'!G243</f>
        <v>0</v>
      </c>
      <c r="R107" s="80">
        <f>'Pro 2'!H243</f>
        <v>0</v>
      </c>
      <c r="S107" s="80">
        <f>'Pro 2'!I243</f>
        <v>0</v>
      </c>
      <c r="T107" s="80">
        <f>'Pro 2'!J243</f>
        <v>0</v>
      </c>
      <c r="U107" s="80">
        <f>'Pro 2'!K243</f>
        <v>0</v>
      </c>
      <c r="V107" s="81">
        <f>'Pro 2'!L243</f>
        <v>0</v>
      </c>
      <c r="W107" s="80">
        <f>'Pro 2'!E244</f>
        <v>0</v>
      </c>
      <c r="X107" s="80">
        <f>'Pro 2'!F244</f>
        <v>0</v>
      </c>
      <c r="Y107" s="80">
        <f>'Pro 2'!G244</f>
        <v>0</v>
      </c>
      <c r="Z107" s="80">
        <f>'Pro 2'!H244</f>
        <v>0</v>
      </c>
      <c r="AA107" s="80">
        <f>'Pro 2'!I244</f>
        <v>0</v>
      </c>
      <c r="AB107" s="80">
        <f>'Pro 2'!J244</f>
        <v>0</v>
      </c>
      <c r="AC107" s="80">
        <f>'Pro 2'!K244</f>
        <v>0</v>
      </c>
      <c r="AD107" s="135">
        <f>'Pro 2'!L244</f>
        <v>0</v>
      </c>
    </row>
    <row r="108" spans="4:30" x14ac:dyDescent="0.2">
      <c r="D108" s="134">
        <f t="shared" ref="D108:D110" si="9">D107</f>
        <v>0</v>
      </c>
      <c r="E108" s="82" t="s">
        <v>494</v>
      </c>
      <c r="F108" s="82" t="s">
        <v>519</v>
      </c>
      <c r="G108" s="82" t="s">
        <v>496</v>
      </c>
      <c r="H108" s="82" t="s">
        <v>496</v>
      </c>
      <c r="I108" s="82" t="s">
        <v>496</v>
      </c>
      <c r="J108" s="82" t="str">
        <f>J107</f>
        <v>DOM</v>
      </c>
      <c r="K108" s="83" t="s">
        <v>522</v>
      </c>
      <c r="L108" s="82">
        <f>'Pro 2'!E229</f>
        <v>0</v>
      </c>
      <c r="M108" s="82" t="e">
        <v>#N/A</v>
      </c>
      <c r="N108" s="82" t="str">
        <f t="shared" si="8"/>
        <v>Dom</v>
      </c>
      <c r="O108" s="84">
        <f>'Pro 2'!E247</f>
        <v>0</v>
      </c>
      <c r="P108" s="84">
        <f>'Pro 2'!F247</f>
        <v>0</v>
      </c>
      <c r="Q108" s="84">
        <f>'Pro 2'!G247</f>
        <v>0</v>
      </c>
      <c r="R108" s="84">
        <f>'Pro 2'!H247</f>
        <v>0</v>
      </c>
      <c r="S108" s="84">
        <f>'Pro 2'!I247</f>
        <v>0</v>
      </c>
      <c r="T108" s="84">
        <f>'Pro 2'!J247</f>
        <v>0</v>
      </c>
      <c r="U108" s="84">
        <f>'Pro 2'!K247</f>
        <v>0</v>
      </c>
      <c r="V108" s="85">
        <f>'Pro 2'!L247</f>
        <v>0</v>
      </c>
      <c r="W108" s="84">
        <f>'Pro 2'!E248</f>
        <v>0</v>
      </c>
      <c r="X108" s="84">
        <f>'Pro 2'!F248</f>
        <v>0</v>
      </c>
      <c r="Y108" s="84">
        <f>'Pro 2'!G248</f>
        <v>0</v>
      </c>
      <c r="Z108" s="84">
        <f>'Pro 2'!H248</f>
        <v>0</v>
      </c>
      <c r="AA108" s="84">
        <f>'Pro 2'!I248</f>
        <v>0</v>
      </c>
      <c r="AB108" s="84">
        <f>'Pro 2'!J248</f>
        <v>0</v>
      </c>
      <c r="AC108" s="84">
        <f>'Pro 2'!K248</f>
        <v>0</v>
      </c>
      <c r="AD108" s="136">
        <f>'Pro 2'!L248</f>
        <v>0</v>
      </c>
    </row>
    <row r="109" spans="4:30" x14ac:dyDescent="0.2">
      <c r="D109" s="134">
        <f t="shared" si="9"/>
        <v>0</v>
      </c>
      <c r="E109" s="78" t="s">
        <v>494</v>
      </c>
      <c r="F109" s="78" t="s">
        <v>519</v>
      </c>
      <c r="G109" s="78" t="s">
        <v>496</v>
      </c>
      <c r="H109" s="78" t="s">
        <v>496</v>
      </c>
      <c r="I109" s="78" t="s">
        <v>496</v>
      </c>
      <c r="J109" s="78" t="str">
        <f>J108</f>
        <v>DOM</v>
      </c>
      <c r="K109" s="79" t="s">
        <v>523</v>
      </c>
      <c r="L109" s="78">
        <f>'Pro 2'!E230</f>
        <v>0</v>
      </c>
      <c r="M109" s="78" t="e">
        <v>#N/A</v>
      </c>
      <c r="N109" s="78" t="str">
        <f t="shared" si="8"/>
        <v>Dom</v>
      </c>
      <c r="O109" s="80">
        <f>'Pro 2'!E251</f>
        <v>0</v>
      </c>
      <c r="P109" s="80">
        <f>'Pro 2'!F251</f>
        <v>0</v>
      </c>
      <c r="Q109" s="80">
        <f>'Pro 2'!G251</f>
        <v>0</v>
      </c>
      <c r="R109" s="80">
        <f>'Pro 2'!H251</f>
        <v>0</v>
      </c>
      <c r="S109" s="80">
        <f>'Pro 2'!I251</f>
        <v>0</v>
      </c>
      <c r="T109" s="80">
        <f>'Pro 2'!J251</f>
        <v>0</v>
      </c>
      <c r="U109" s="80">
        <f>'Pro 2'!K251</f>
        <v>0</v>
      </c>
      <c r="V109" s="81">
        <f>'Pro 2'!L251</f>
        <v>0</v>
      </c>
      <c r="W109" s="80">
        <f>'Pro 2'!E252</f>
        <v>0</v>
      </c>
      <c r="X109" s="80">
        <f>'Pro 2'!F252</f>
        <v>0</v>
      </c>
      <c r="Y109" s="80">
        <f>'Pro 2'!G252</f>
        <v>0</v>
      </c>
      <c r="Z109" s="80">
        <f>'Pro 2'!H252</f>
        <v>0</v>
      </c>
      <c r="AA109" s="80">
        <f>'Pro 2'!I252</f>
        <v>0</v>
      </c>
      <c r="AB109" s="80">
        <f>'Pro 2'!J252</f>
        <v>0</v>
      </c>
      <c r="AC109" s="80">
        <f>'Pro 2'!K252</f>
        <v>0</v>
      </c>
      <c r="AD109" s="135">
        <f>'Pro 2'!L252</f>
        <v>0</v>
      </c>
    </row>
    <row r="110" spans="4:30" x14ac:dyDescent="0.2">
      <c r="D110" s="137">
        <f t="shared" si="9"/>
        <v>0</v>
      </c>
      <c r="E110" s="138" t="s">
        <v>494</v>
      </c>
      <c r="F110" s="138" t="s">
        <v>519</v>
      </c>
      <c r="G110" s="138" t="s">
        <v>496</v>
      </c>
      <c r="H110" s="138" t="s">
        <v>496</v>
      </c>
      <c r="I110" s="138" t="s">
        <v>496</v>
      </c>
      <c r="J110" s="138" t="str">
        <f>J109</f>
        <v>DOM</v>
      </c>
      <c r="K110" s="139" t="s">
        <v>524</v>
      </c>
      <c r="L110" s="138">
        <f>'Pro 2'!E231</f>
        <v>0</v>
      </c>
      <c r="M110" s="138" t="e">
        <v>#N/A</v>
      </c>
      <c r="N110" s="138" t="str">
        <f t="shared" si="8"/>
        <v>Dom</v>
      </c>
      <c r="O110" s="140">
        <f>'Pro 2'!E255</f>
        <v>0</v>
      </c>
      <c r="P110" s="140">
        <f>'Pro 2'!F255</f>
        <v>0</v>
      </c>
      <c r="Q110" s="140">
        <f>'Pro 2'!G255</f>
        <v>0</v>
      </c>
      <c r="R110" s="140">
        <f>'Pro 2'!H255</f>
        <v>0</v>
      </c>
      <c r="S110" s="140">
        <f>'Pro 2'!I255</f>
        <v>0</v>
      </c>
      <c r="T110" s="140">
        <f>'Pro 2'!J255</f>
        <v>0</v>
      </c>
      <c r="U110" s="140">
        <f>'Pro 2'!K255</f>
        <v>0</v>
      </c>
      <c r="V110" s="141">
        <f>'Pro 2'!L255</f>
        <v>0</v>
      </c>
      <c r="W110" s="140">
        <f>'Pro 2'!E256</f>
        <v>0</v>
      </c>
      <c r="X110" s="140">
        <f>'Pro 2'!F256</f>
        <v>0</v>
      </c>
      <c r="Y110" s="140">
        <f>'Pro 2'!G256</f>
        <v>0</v>
      </c>
      <c r="Z110" s="140">
        <f>'Pro 2'!H256</f>
        <v>0</v>
      </c>
      <c r="AA110" s="140">
        <f>'Pro 2'!I256</f>
        <v>0</v>
      </c>
      <c r="AB110" s="140">
        <f>'Pro 2'!J256</f>
        <v>0</v>
      </c>
      <c r="AC110" s="140">
        <f>'Pro 2'!K256</f>
        <v>0</v>
      </c>
      <c r="AD110" s="142">
        <f>'Pro 2'!L256</f>
        <v>0</v>
      </c>
    </row>
  </sheetData>
  <sheetProtection algorithmName="SHA-512" hashValue="NtzLfFHL09pMWIIk9Dvc3hta1NxlkYRE3aNRA4MIj1b+LOGAEspVP+IKoIl8//U3scZYAUyFVne8NbxQPkHY/g==" saltValue="DP41my/wvh28GAwrPw/6Zg=="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42"/>
  <sheetViews>
    <sheetView showGridLines="0" tabSelected="1" zoomScaleNormal="100" workbookViewId="0">
      <selection activeCell="B25" sqref="B25:L25"/>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23" width="9" style="2" customWidth="1"/>
    <col min="24" max="16384" width="9.140625" style="2"/>
  </cols>
  <sheetData>
    <row r="1" spans="1:22" x14ac:dyDescent="0.25">
      <c r="O1" s="2" t="s">
        <v>744</v>
      </c>
      <c r="P1" s="2" t="s">
        <v>744</v>
      </c>
      <c r="Q1" s="3"/>
      <c r="R1" s="3"/>
      <c r="S1" s="3"/>
      <c r="T1" s="3"/>
      <c r="U1" s="3"/>
      <c r="V1" s="3"/>
    </row>
    <row r="2" spans="1:22" x14ac:dyDescent="0.25">
      <c r="B2" s="20" t="s">
        <v>0</v>
      </c>
      <c r="C2" s="20"/>
      <c r="O2" s="3" t="s">
        <v>166</v>
      </c>
      <c r="P2" s="3" t="s">
        <v>167</v>
      </c>
    </row>
    <row r="3" spans="1:22" x14ac:dyDescent="0.25">
      <c r="B3" s="21"/>
      <c r="C3" s="21"/>
      <c r="O3" s="8"/>
      <c r="P3" s="8"/>
    </row>
    <row r="4" spans="1:22" s="8" customFormat="1" x14ac:dyDescent="0.25">
      <c r="A4" s="13"/>
      <c r="B4" s="462" t="s">
        <v>627</v>
      </c>
      <c r="C4" s="463"/>
      <c r="D4" s="463"/>
      <c r="E4" s="463"/>
      <c r="F4" s="463"/>
      <c r="G4" s="463"/>
      <c r="H4" s="463"/>
      <c r="I4" s="463"/>
      <c r="J4" s="463"/>
      <c r="K4" s="463"/>
      <c r="L4" s="464"/>
      <c r="M4" s="15"/>
      <c r="N4" s="15"/>
      <c r="O4" s="14"/>
      <c r="P4" s="14"/>
    </row>
    <row r="5" spans="1:22" s="8" customFormat="1" x14ac:dyDescent="0.25">
      <c r="A5" s="13"/>
      <c r="B5" s="465" t="str">
        <f>Variables!B2</f>
        <v>NQ-2026-005</v>
      </c>
      <c r="C5" s="466"/>
      <c r="D5" s="466"/>
      <c r="E5" s="466"/>
      <c r="F5" s="466"/>
      <c r="G5" s="466"/>
      <c r="H5" s="466"/>
      <c r="I5" s="466"/>
      <c r="J5" s="466"/>
      <c r="K5" s="466"/>
      <c r="L5" s="467"/>
      <c r="M5" s="15"/>
      <c r="N5" s="15"/>
      <c r="O5" s="14"/>
      <c r="P5" s="14"/>
    </row>
    <row r="6" spans="1:22" s="9" customFormat="1" x14ac:dyDescent="0.25">
      <c r="A6" s="13"/>
      <c r="B6" s="470" t="str">
        <f>UPPER(Variables!B3&amp;" | "&amp;Variables!C3)</f>
        <v>CERTAIN STEEL RACKS | CERTAINS RAYONNAGES EN ACIER</v>
      </c>
      <c r="C6" s="471"/>
      <c r="D6" s="471"/>
      <c r="E6" s="471"/>
      <c r="F6" s="471"/>
      <c r="G6" s="471"/>
      <c r="H6" s="471"/>
      <c r="I6" s="471"/>
      <c r="J6" s="471"/>
      <c r="K6" s="471"/>
      <c r="L6" s="472"/>
      <c r="M6" s="14"/>
      <c r="N6" s="14"/>
      <c r="O6" s="10"/>
      <c r="P6" s="10"/>
    </row>
    <row r="7" spans="1:22" s="9" customFormat="1" x14ac:dyDescent="0.25">
      <c r="A7" s="13"/>
      <c r="B7" s="22"/>
      <c r="C7" s="22"/>
      <c r="D7" s="23"/>
      <c r="E7" s="23"/>
      <c r="F7" s="23"/>
      <c r="G7" s="23"/>
      <c r="H7" s="23"/>
      <c r="I7" s="23"/>
      <c r="J7" s="23"/>
      <c r="K7" s="23"/>
      <c r="L7" s="23"/>
      <c r="O7" s="10"/>
      <c r="P7" s="10"/>
    </row>
    <row r="8" spans="1:22" s="8" customFormat="1" x14ac:dyDescent="0.25">
      <c r="A8" s="13"/>
      <c r="B8" s="453" t="s">
        <v>628</v>
      </c>
      <c r="C8" s="454"/>
      <c r="D8" s="454"/>
      <c r="E8" s="454"/>
      <c r="F8" s="454"/>
      <c r="G8" s="454"/>
      <c r="H8" s="454"/>
      <c r="I8" s="454"/>
      <c r="J8" s="454"/>
      <c r="K8" s="454"/>
      <c r="L8" s="455"/>
      <c r="M8" s="15"/>
      <c r="N8" s="15"/>
      <c r="O8" s="14"/>
      <c r="P8" s="14"/>
    </row>
    <row r="9" spans="1:22" x14ac:dyDescent="0.25">
      <c r="B9" s="24"/>
      <c r="C9" s="25"/>
      <c r="D9" s="26"/>
      <c r="E9" s="26"/>
      <c r="F9" s="26"/>
      <c r="G9" s="26"/>
      <c r="H9" s="26"/>
      <c r="I9" s="26"/>
      <c r="J9" s="26"/>
      <c r="K9" s="26"/>
      <c r="L9" s="27"/>
      <c r="M9" s="2"/>
      <c r="O9" s="519" t="s">
        <v>712</v>
      </c>
      <c r="P9" s="519"/>
    </row>
    <row r="10" spans="1:22" x14ac:dyDescent="0.25">
      <c r="B10" s="456"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457"/>
      <c r="D10" s="457"/>
      <c r="E10" s="457"/>
      <c r="F10" s="457"/>
      <c r="G10" s="151"/>
      <c r="H10" s="468"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468"/>
      <c r="J10" s="468"/>
      <c r="K10" s="468"/>
      <c r="L10" s="469"/>
      <c r="M10" s="2"/>
      <c r="O10" s="519"/>
      <c r="P10" s="519"/>
    </row>
    <row r="11" spans="1:22" x14ac:dyDescent="0.25">
      <c r="B11" s="456"/>
      <c r="C11" s="457"/>
      <c r="D11" s="457"/>
      <c r="E11" s="457"/>
      <c r="F11" s="457"/>
      <c r="G11" s="151"/>
      <c r="H11" s="468"/>
      <c r="I11" s="468"/>
      <c r="J11" s="468"/>
      <c r="K11" s="468"/>
      <c r="L11" s="469"/>
      <c r="M11" s="2"/>
      <c r="O11" s="519"/>
      <c r="P11" s="519"/>
    </row>
    <row r="12" spans="1:22" x14ac:dyDescent="0.25">
      <c r="B12" s="456"/>
      <c r="C12" s="457"/>
      <c r="D12" s="457"/>
      <c r="E12" s="457"/>
      <c r="F12" s="457"/>
      <c r="G12" s="151"/>
      <c r="H12" s="468"/>
      <c r="I12" s="468"/>
      <c r="J12" s="468"/>
      <c r="K12" s="468"/>
      <c r="L12" s="469"/>
      <c r="M12" s="2"/>
      <c r="O12" s="519"/>
      <c r="P12" s="519"/>
    </row>
    <row r="13" spans="1:22" x14ac:dyDescent="0.25">
      <c r="B13" s="456"/>
      <c r="C13" s="457"/>
      <c r="D13" s="457"/>
      <c r="E13" s="457"/>
      <c r="F13" s="457"/>
      <c r="G13" s="151"/>
      <c r="H13" s="468"/>
      <c r="I13" s="468"/>
      <c r="J13" s="468"/>
      <c r="K13" s="468"/>
      <c r="L13" s="469"/>
      <c r="M13" s="2"/>
      <c r="O13" s="519"/>
      <c r="P13" s="519"/>
    </row>
    <row r="14" spans="1:22" x14ac:dyDescent="0.25">
      <c r="B14" s="456"/>
      <c r="C14" s="457"/>
      <c r="D14" s="457"/>
      <c r="E14" s="457"/>
      <c r="F14" s="457"/>
      <c r="G14" s="151"/>
      <c r="H14" s="468"/>
      <c r="I14" s="468"/>
      <c r="J14" s="468"/>
      <c r="K14" s="468"/>
      <c r="L14" s="469"/>
      <c r="M14" s="2"/>
      <c r="O14" s="519"/>
      <c r="P14" s="519"/>
    </row>
    <row r="15" spans="1:22" x14ac:dyDescent="0.25">
      <c r="B15" s="456"/>
      <c r="C15" s="457"/>
      <c r="D15" s="457"/>
      <c r="E15" s="457"/>
      <c r="F15" s="457"/>
      <c r="G15" s="151"/>
      <c r="H15" s="468"/>
      <c r="I15" s="468"/>
      <c r="J15" s="468"/>
      <c r="K15" s="468"/>
      <c r="L15" s="469"/>
      <c r="M15" s="2"/>
      <c r="O15" s="519"/>
      <c r="P15" s="519"/>
    </row>
    <row r="16" spans="1:22" x14ac:dyDescent="0.25">
      <c r="B16" s="456"/>
      <c r="C16" s="457"/>
      <c r="D16" s="457"/>
      <c r="E16" s="457"/>
      <c r="F16" s="457"/>
      <c r="G16" s="151"/>
      <c r="H16" s="468"/>
      <c r="I16" s="468"/>
      <c r="J16" s="468"/>
      <c r="K16" s="468"/>
      <c r="L16" s="469"/>
      <c r="M16" s="2"/>
      <c r="O16" s="519"/>
      <c r="P16" s="519"/>
    </row>
    <row r="17" spans="1:16" x14ac:dyDescent="0.25">
      <c r="B17" s="176"/>
      <c r="C17" s="177"/>
      <c r="D17" s="177"/>
      <c r="E17" s="177"/>
      <c r="F17" s="177"/>
      <c r="G17" s="177"/>
      <c r="H17" s="177"/>
      <c r="I17" s="177"/>
      <c r="J17" s="177"/>
      <c r="K17" s="177"/>
      <c r="L17" s="178"/>
      <c r="M17" s="2"/>
      <c r="O17" s="519"/>
      <c r="P17" s="519"/>
    </row>
    <row r="18" spans="1:16" s="9" customFormat="1" x14ac:dyDescent="0.25">
      <c r="A18" s="13"/>
      <c r="B18" s="22"/>
      <c r="C18" s="22"/>
      <c r="D18" s="23"/>
      <c r="E18" s="23"/>
      <c r="F18" s="23"/>
      <c r="G18" s="23"/>
      <c r="H18" s="23"/>
      <c r="I18" s="23"/>
      <c r="J18" s="23"/>
      <c r="K18" s="23"/>
      <c r="L18" s="23"/>
      <c r="O18" s="10"/>
      <c r="P18" s="10"/>
    </row>
    <row r="19" spans="1:16" s="8" customFormat="1" x14ac:dyDescent="0.25">
      <c r="A19" s="13"/>
      <c r="B19" s="453" t="s">
        <v>629</v>
      </c>
      <c r="C19" s="454"/>
      <c r="D19" s="454"/>
      <c r="E19" s="454"/>
      <c r="F19" s="454"/>
      <c r="G19" s="454"/>
      <c r="H19" s="454"/>
      <c r="I19" s="454"/>
      <c r="J19" s="454"/>
      <c r="K19" s="454"/>
      <c r="L19" s="455"/>
      <c r="M19" s="15"/>
      <c r="N19" s="15"/>
      <c r="O19" s="14"/>
      <c r="P19" s="14"/>
    </row>
    <row r="20" spans="1:16" x14ac:dyDescent="0.25">
      <c r="B20" s="24"/>
      <c r="C20" s="25"/>
      <c r="D20" s="26"/>
      <c r="E20" s="26"/>
      <c r="F20" s="26"/>
      <c r="G20" s="26"/>
      <c r="H20" s="26"/>
      <c r="I20" s="26"/>
      <c r="J20" s="26"/>
      <c r="K20" s="26"/>
      <c r="L20" s="27"/>
      <c r="M20" s="2"/>
    </row>
    <row r="21" spans="1:16" x14ac:dyDescent="0.25">
      <c r="B21" s="520" t="s">
        <v>316</v>
      </c>
      <c r="C21" s="521"/>
      <c r="D21" s="521"/>
      <c r="E21" s="521"/>
      <c r="F21" s="521"/>
      <c r="G21" s="524" t="s">
        <v>167</v>
      </c>
      <c r="H21" s="522" t="s">
        <v>403</v>
      </c>
      <c r="I21" s="522"/>
      <c r="J21" s="522"/>
      <c r="K21" s="522"/>
      <c r="L21" s="523"/>
      <c r="M21" s="2"/>
      <c r="O21" s="11"/>
    </row>
    <row r="22" spans="1:16" x14ac:dyDescent="0.25">
      <c r="B22" s="520"/>
      <c r="C22" s="521"/>
      <c r="D22" s="521"/>
      <c r="E22" s="521"/>
      <c r="F22" s="521"/>
      <c r="G22" s="525"/>
      <c r="H22" s="522"/>
      <c r="I22" s="522"/>
      <c r="J22" s="522"/>
      <c r="K22" s="522"/>
      <c r="L22" s="523"/>
      <c r="M22" s="2"/>
      <c r="O22" s="11"/>
    </row>
    <row r="23" spans="1:16" x14ac:dyDescent="0.25">
      <c r="B23" s="176"/>
      <c r="C23" s="177"/>
      <c r="D23" s="177"/>
      <c r="E23" s="177"/>
      <c r="F23" s="177"/>
      <c r="G23" s="177"/>
      <c r="H23" s="177"/>
      <c r="I23" s="177"/>
      <c r="J23" s="177"/>
      <c r="K23" s="177"/>
      <c r="L23" s="178"/>
      <c r="M23" s="2"/>
    </row>
    <row r="24" spans="1:16" s="9" customFormat="1" x14ac:dyDescent="0.25">
      <c r="A24" s="13"/>
      <c r="B24" s="22"/>
      <c r="C24" s="22"/>
      <c r="D24" s="23"/>
      <c r="E24" s="23"/>
      <c r="F24" s="23"/>
      <c r="G24" s="23"/>
      <c r="H24" s="23"/>
      <c r="I24" s="23"/>
      <c r="J24" s="23"/>
      <c r="K24" s="23"/>
      <c r="L24" s="23"/>
      <c r="O24" s="10"/>
      <c r="P24" s="10"/>
    </row>
    <row r="25" spans="1:16" s="8" customFormat="1" x14ac:dyDescent="0.25">
      <c r="A25" s="13"/>
      <c r="B25" s="453" t="str">
        <f>IF(Intro!$G$21="English",O25,P25)</f>
        <v>LA DÉFINITION "DES MARCHANDISES"</v>
      </c>
      <c r="C25" s="454" t="str">
        <f>UPPER(IF(Intro!$G$21="English",P25,Q25))</f>
        <v/>
      </c>
      <c r="D25" s="454" t="str">
        <f>UPPER(IF(Intro!$G$21="English",Q25,R25))</f>
        <v/>
      </c>
      <c r="E25" s="454" t="str">
        <f>UPPER(IF(Intro!$G$21="English",R25,S25))</f>
        <v/>
      </c>
      <c r="F25" s="454"/>
      <c r="G25" s="454" t="str">
        <f>UPPER(IF(Intro!$G$21="English",S25,T25))</f>
        <v/>
      </c>
      <c r="H25" s="454" t="str">
        <f>UPPER(IF(Intro!$G$21="English",T25,U25))</f>
        <v/>
      </c>
      <c r="I25" s="454" t="str">
        <f>UPPER(IF(Intro!$G$21="English",U25,V25))</f>
        <v/>
      </c>
      <c r="J25" s="454" t="str">
        <f>UPPER(IF(Intro!$G$21="English",V25,W25))</f>
        <v/>
      </c>
      <c r="K25" s="454" t="str">
        <f>UPPER(IF(Intro!$G$21="English",W25,X25))</f>
        <v/>
      </c>
      <c r="L25" s="455" t="str">
        <f>UPPER(IF(Intro!$G$21="English",X25,Y25))</f>
        <v/>
      </c>
      <c r="M25" s="9"/>
      <c r="N25" s="15"/>
      <c r="O25" s="14" t="s">
        <v>630</v>
      </c>
      <c r="P25" s="14" t="s">
        <v>631</v>
      </c>
    </row>
    <row r="26" spans="1:16" x14ac:dyDescent="0.25">
      <c r="B26" s="24"/>
      <c r="C26" s="25"/>
      <c r="D26" s="26"/>
      <c r="E26" s="26"/>
      <c r="F26" s="26"/>
      <c r="G26" s="26"/>
      <c r="H26" s="26"/>
      <c r="I26" s="26"/>
      <c r="J26" s="26"/>
      <c r="K26" s="26"/>
      <c r="L26" s="27"/>
      <c r="M26" s="2"/>
    </row>
    <row r="27" spans="1:16" x14ac:dyDescent="0.25">
      <c r="B27" s="456" t="str">
        <f>IF(Intro!$G$21="English",O27,P27)</f>
        <v>Les références aux « marchandises » dans ce questionnaire font référence à :</v>
      </c>
      <c r="C27" s="457"/>
      <c r="D27" s="457"/>
      <c r="E27" s="457"/>
      <c r="F27" s="457"/>
      <c r="G27" s="457"/>
      <c r="H27" s="457"/>
      <c r="I27" s="457"/>
      <c r="J27" s="457"/>
      <c r="K27" s="457"/>
      <c r="L27" s="458"/>
      <c r="M27" s="2"/>
      <c r="O27" s="2" t="s">
        <v>340</v>
      </c>
      <c r="P27" s="2" t="s">
        <v>341</v>
      </c>
    </row>
    <row r="28" spans="1:16" x14ac:dyDescent="0.25">
      <c r="B28" s="456"/>
      <c r="C28" s="457"/>
      <c r="D28" s="457"/>
      <c r="E28" s="457"/>
      <c r="F28" s="457"/>
      <c r="G28" s="457"/>
      <c r="H28" s="457"/>
      <c r="I28" s="457"/>
      <c r="J28" s="457"/>
      <c r="K28" s="457"/>
      <c r="L28" s="458"/>
      <c r="M28" s="2"/>
    </row>
    <row r="29" spans="1:16" x14ac:dyDescent="0.25">
      <c r="B29" s="170"/>
      <c r="C29" s="526" t="str">
        <f>IF(Intro!$G$21="English",Variables!B16,Variables!C16)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c r="D29" s="527"/>
      <c r="E29" s="527"/>
      <c r="F29" s="527"/>
      <c r="G29" s="527"/>
      <c r="H29" s="527"/>
      <c r="I29" s="527"/>
      <c r="J29" s="527"/>
      <c r="K29" s="528"/>
      <c r="L29" s="162"/>
      <c r="M29" s="2"/>
    </row>
    <row r="30" spans="1:16" x14ac:dyDescent="0.25">
      <c r="B30" s="170"/>
      <c r="C30" s="529"/>
      <c r="D30" s="530"/>
      <c r="E30" s="530"/>
      <c r="F30" s="530"/>
      <c r="G30" s="530"/>
      <c r="H30" s="530"/>
      <c r="I30" s="530"/>
      <c r="J30" s="530"/>
      <c r="K30" s="531"/>
      <c r="L30" s="162"/>
      <c r="M30" s="2"/>
    </row>
    <row r="31" spans="1:16" x14ac:dyDescent="0.25">
      <c r="B31" s="170"/>
      <c r="C31" s="529"/>
      <c r="D31" s="530"/>
      <c r="E31" s="530"/>
      <c r="F31" s="530"/>
      <c r="G31" s="530"/>
      <c r="H31" s="530"/>
      <c r="I31" s="530"/>
      <c r="J31" s="530"/>
      <c r="K31" s="531"/>
      <c r="L31" s="162"/>
      <c r="M31" s="2"/>
    </row>
    <row r="32" spans="1:16" x14ac:dyDescent="0.25">
      <c r="B32" s="170"/>
      <c r="C32" s="529"/>
      <c r="D32" s="530"/>
      <c r="E32" s="530"/>
      <c r="F32" s="530"/>
      <c r="G32" s="530"/>
      <c r="H32" s="530"/>
      <c r="I32" s="530"/>
      <c r="J32" s="530"/>
      <c r="K32" s="531"/>
      <c r="L32" s="162"/>
      <c r="M32" s="2"/>
    </row>
    <row r="33" spans="1:16" ht="237.75" customHeight="1" x14ac:dyDescent="0.25">
      <c r="B33" s="170"/>
      <c r="C33" s="532"/>
      <c r="D33" s="533"/>
      <c r="E33" s="533"/>
      <c r="F33" s="533"/>
      <c r="G33" s="533"/>
      <c r="H33" s="533"/>
      <c r="I33" s="533"/>
      <c r="J33" s="533"/>
      <c r="K33" s="534"/>
      <c r="L33" s="162"/>
      <c r="M33" s="2"/>
    </row>
    <row r="34" spans="1:16" x14ac:dyDescent="0.25">
      <c r="B34" s="456"/>
      <c r="C34" s="457"/>
      <c r="D34" s="457"/>
      <c r="E34" s="457"/>
      <c r="F34" s="457"/>
      <c r="G34" s="457"/>
      <c r="H34" s="457"/>
      <c r="I34" s="457"/>
      <c r="J34" s="457"/>
      <c r="K34" s="457"/>
      <c r="L34" s="458"/>
      <c r="M34" s="2"/>
    </row>
    <row r="35" spans="1:16" x14ac:dyDescent="0.25">
      <c r="B35" s="456" t="str">
        <f>IF(Intro!$G$21="English",O35,P35)</f>
        <v>Pour plus de détails, consultez l’onglet « Info ».</v>
      </c>
      <c r="C35" s="457"/>
      <c r="D35" s="457"/>
      <c r="E35" s="457"/>
      <c r="F35" s="457"/>
      <c r="G35" s="457"/>
      <c r="H35" s="457"/>
      <c r="I35" s="457"/>
      <c r="J35" s="457"/>
      <c r="K35" s="457"/>
      <c r="L35" s="458"/>
      <c r="M35" s="2"/>
      <c r="O35" s="2" t="s">
        <v>391</v>
      </c>
      <c r="P35" s="2" t="s">
        <v>398</v>
      </c>
    </row>
    <row r="36" spans="1:16" x14ac:dyDescent="0.25">
      <c r="B36" s="176"/>
      <c r="C36" s="177"/>
      <c r="D36" s="177"/>
      <c r="E36" s="177"/>
      <c r="F36" s="177"/>
      <c r="G36" s="177"/>
      <c r="H36" s="177"/>
      <c r="I36" s="177"/>
      <c r="J36" s="177"/>
      <c r="K36" s="177"/>
      <c r="L36" s="178"/>
      <c r="M36" s="2"/>
    </row>
    <row r="37" spans="1:16" s="9" customFormat="1" x14ac:dyDescent="0.25">
      <c r="A37" s="13"/>
      <c r="B37" s="22"/>
      <c r="C37" s="22"/>
      <c r="D37" s="23"/>
      <c r="E37" s="23"/>
      <c r="F37" s="23"/>
      <c r="G37" s="23"/>
      <c r="H37" s="23"/>
      <c r="I37" s="23"/>
      <c r="J37" s="23"/>
      <c r="K37" s="23"/>
      <c r="L37" s="23"/>
      <c r="O37" s="10"/>
      <c r="P37" s="10"/>
    </row>
    <row r="38" spans="1:16" s="8" customFormat="1" x14ac:dyDescent="0.25">
      <c r="A38" s="13"/>
      <c r="B38" s="453" t="str">
        <f>IF(Intro!$G$21="English",O38,P38)</f>
        <v>DEVEZ-VOUS REMPLIR CE QUESTIONNAIRE?</v>
      </c>
      <c r="C38" s="454"/>
      <c r="D38" s="454"/>
      <c r="E38" s="454"/>
      <c r="F38" s="454"/>
      <c r="G38" s="454"/>
      <c r="H38" s="454"/>
      <c r="I38" s="454"/>
      <c r="J38" s="454"/>
      <c r="K38" s="454"/>
      <c r="L38" s="455"/>
      <c r="M38" s="15"/>
      <c r="N38" s="15"/>
      <c r="O38" s="1" t="s">
        <v>632</v>
      </c>
      <c r="P38" s="1" t="s">
        <v>694</v>
      </c>
    </row>
    <row r="39" spans="1:16" x14ac:dyDescent="0.25">
      <c r="B39" s="24"/>
      <c r="C39" s="25"/>
      <c r="D39" s="26"/>
      <c r="E39" s="26"/>
      <c r="F39" s="26"/>
      <c r="G39" s="26"/>
      <c r="H39" s="26"/>
      <c r="I39" s="26"/>
      <c r="J39" s="26"/>
      <c r="K39" s="26"/>
      <c r="L39" s="27"/>
      <c r="M39" s="2"/>
    </row>
    <row r="40" spans="1:16" x14ac:dyDescent="0.25">
      <c r="B40" s="456" t="str">
        <f>IF(Intro!$G$21="English",O40,P40)</f>
        <v>Précisez les activités de votre entreprise relatives aux marchandises définies ci-dessus, du 1er janvier 2023 au 31 mars 2026:</v>
      </c>
      <c r="C40" s="457"/>
      <c r="D40" s="457"/>
      <c r="E40" s="457"/>
      <c r="F40" s="457"/>
      <c r="G40" s="457"/>
      <c r="H40" s="457"/>
      <c r="I40" s="457"/>
      <c r="J40" s="457"/>
      <c r="K40" s="457"/>
      <c r="L40" s="458"/>
      <c r="M40" s="2"/>
      <c r="O40" s="2" t="str">
        <f>"Specify your firm’s activities with respect to the goods defined above from January 1, "&amp;Variables!B6&amp;" to "&amp;TEXT(Variables!B7,"MMMM, DD, YYYY")&amp;":"</f>
        <v>Specify your firm’s activities with respect to the goods defined above from January 1, 2023 to March, 31, 2026:</v>
      </c>
      <c r="P40" s="2" t="str">
        <f>"Précisez les activités de votre entreprise relatives aux marchandises définies ci-dessus, du 1er janvier "&amp;Variables!C6&amp;" au "&amp;Variables!C7&amp;" 2026:"</f>
        <v>Précisez les activités de votre entreprise relatives aux marchandises définies ci-dessus, du 1er janvier 2023 au 31 mars 2026:</v>
      </c>
    </row>
    <row r="41" spans="1:16" x14ac:dyDescent="0.25">
      <c r="B41" s="170"/>
      <c r="C41" s="171"/>
      <c r="D41" s="171"/>
      <c r="E41" s="171"/>
      <c r="F41" s="171"/>
      <c r="G41" s="171"/>
      <c r="H41" s="171"/>
      <c r="I41" s="171"/>
      <c r="J41" s="171"/>
      <c r="K41" s="171"/>
      <c r="L41" s="172"/>
      <c r="M41" s="2"/>
    </row>
    <row r="42" spans="1:16" x14ac:dyDescent="0.25">
      <c r="B42" s="170"/>
      <c r="C42" s="171"/>
      <c r="D42" s="535" t="str">
        <f>IF(Intro!$G$21="English",O42,P42)</f>
        <v>Sélectionnez oui ou non</v>
      </c>
      <c r="E42" s="535"/>
      <c r="F42" s="536" t="s">
        <v>633</v>
      </c>
      <c r="G42" s="536"/>
      <c r="H42" s="536"/>
      <c r="I42" s="536"/>
      <c r="J42" s="536"/>
      <c r="K42" s="536"/>
      <c r="L42" s="537"/>
      <c r="M42" s="2"/>
      <c r="O42" s="2" t="s">
        <v>362</v>
      </c>
      <c r="P42" s="2" t="s">
        <v>679</v>
      </c>
    </row>
    <row r="43" spans="1:16" x14ac:dyDescent="0.25">
      <c r="B43" s="473" t="str">
        <f>IF(Intro!$G$21="English",O43,P43)</f>
        <v>Produit les marchandises</v>
      </c>
      <c r="C43" s="474"/>
      <c r="D43" s="499"/>
      <c r="E43" s="499"/>
      <c r="F43" s="500" t="str">
        <f>IF(D43="Yes",O44,IF(D43="Oui",P44,IF(D43="No",O45,IF(D43="Non",P45,""))))</f>
        <v/>
      </c>
      <c r="G43" s="500"/>
      <c r="H43" s="500"/>
      <c r="I43" s="500"/>
      <c r="J43" s="500"/>
      <c r="K43" s="500"/>
      <c r="L43" s="501"/>
      <c r="M43" s="2"/>
      <c r="O43" s="11" t="s">
        <v>582</v>
      </c>
      <c r="P43" s="2" t="s">
        <v>583</v>
      </c>
    </row>
    <row r="44" spans="1:16" x14ac:dyDescent="0.25">
      <c r="B44" s="473"/>
      <c r="C44" s="474"/>
      <c r="D44" s="499"/>
      <c r="E44" s="499"/>
      <c r="F44" s="500"/>
      <c r="G44" s="500"/>
      <c r="H44" s="500"/>
      <c r="I44" s="500"/>
      <c r="J44" s="500"/>
      <c r="K44" s="500"/>
      <c r="L44" s="501"/>
      <c r="M44" s="2"/>
      <c r="O44" s="2" t="str">
        <f>"Complete all tabs in this questionnaire and submit it by "&amp;Variables!B11&amp;"."</f>
        <v>Complete all tabs in this questionnaire and submit it by September 24, 2026.</v>
      </c>
      <c r="P44" s="2" t="str">
        <f>"Remplissez tous les onglets de ce questionnaire et soumettez-le avant le "&amp;Variables!C11&amp;"."</f>
        <v>Remplissez tous les onglets de ce questionnaire et soumettez-le avant le 24 septembre 2026.</v>
      </c>
    </row>
    <row r="45" spans="1:16" x14ac:dyDescent="0.25">
      <c r="B45" s="473" t="str">
        <f>IF(Intro!$G$21="English",O46,P46)</f>
        <v>Importe les marchandises de n’importe quel pays en tant qu’importateur officiel</v>
      </c>
      <c r="C45" s="474"/>
      <c r="D45" s="499"/>
      <c r="E45" s="499"/>
      <c r="F45" s="500" t="str">
        <f>IF(D45="Yes",O47,IF(D45="Oui",P47,IF(D45="No",O48,IF(D45="Non",P48,""))))</f>
        <v/>
      </c>
      <c r="G45" s="500"/>
      <c r="H45" s="500"/>
      <c r="I45" s="500"/>
      <c r="J45" s="500"/>
      <c r="K45" s="500"/>
      <c r="L45" s="501"/>
      <c r="M45" s="2"/>
      <c r="O45" s="2" t="str">
        <f>"Explain below. Complete this tab only and submit it by "&amp;Variables!B11&amp;"."</f>
        <v>Explain below. Complete this tab only and submit it by September 24, 2026.</v>
      </c>
      <c r="P45" s="2" t="str">
        <f>"Expliquez ci-dessous. Remplissez uniquement cet onglet et soumettez-le avant le "&amp;Variables!C11&amp;"."</f>
        <v>Expliquez ci-dessous. Remplissez uniquement cet onglet et soumettez-le avant le 24 septembre 2026.</v>
      </c>
    </row>
    <row r="46" spans="1:16" x14ac:dyDescent="0.25">
      <c r="B46" s="473"/>
      <c r="C46" s="474"/>
      <c r="D46" s="499"/>
      <c r="E46" s="499"/>
      <c r="F46" s="500"/>
      <c r="G46" s="500"/>
      <c r="H46" s="500"/>
      <c r="I46" s="500"/>
      <c r="J46" s="500"/>
      <c r="K46" s="500"/>
      <c r="L46" s="501"/>
      <c r="M46" s="2"/>
      <c r="O46" s="11" t="s">
        <v>584</v>
      </c>
      <c r="P46" s="2" t="s">
        <v>704</v>
      </c>
    </row>
    <row r="47" spans="1:16" x14ac:dyDescent="0.25">
      <c r="B47" s="473"/>
      <c r="C47" s="474"/>
      <c r="D47" s="499"/>
      <c r="E47" s="499"/>
      <c r="F47" s="500"/>
      <c r="G47" s="500"/>
      <c r="H47" s="500"/>
      <c r="I47" s="500"/>
      <c r="J47" s="500"/>
      <c r="K47" s="500"/>
      <c r="L47" s="501"/>
      <c r="M47" s="2"/>
      <c r="O47"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September 24, 2026. If completing both an Importers’ and Producers’ questionnaire, it is not necessary to respond twice to questions that are repeated in both questionnaires.</v>
      </c>
      <c r="P47"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24 septembre 2026. Si vous remplissez à la fois un questionnaire à l'intention des importateurs et un autre à l'intention des producteurs, il n’est pas nécessaire de répondre deux fois aux questions qui se répètent dans les deux questionnaires.</v>
      </c>
    </row>
    <row r="48" spans="1:16" x14ac:dyDescent="0.25">
      <c r="B48" s="473"/>
      <c r="C48" s="474"/>
      <c r="D48" s="499"/>
      <c r="E48" s="499"/>
      <c r="F48" s="500"/>
      <c r="G48" s="500"/>
      <c r="H48" s="500"/>
      <c r="I48" s="500"/>
      <c r="J48" s="500"/>
      <c r="K48" s="500"/>
      <c r="L48" s="501"/>
      <c r="M48" s="2"/>
      <c r="O48" s="2" t="s">
        <v>634</v>
      </c>
      <c r="P48" s="2" t="s">
        <v>634</v>
      </c>
    </row>
    <row r="49" spans="1:16" x14ac:dyDescent="0.25">
      <c r="B49" s="24"/>
      <c r="C49" s="25"/>
      <c r="D49" s="26"/>
      <c r="E49" s="26"/>
      <c r="F49" s="26"/>
      <c r="G49" s="26"/>
      <c r="H49" s="26"/>
      <c r="I49" s="26"/>
      <c r="J49" s="26"/>
      <c r="K49" s="26"/>
      <c r="L49" s="27"/>
      <c r="M49" s="2"/>
    </row>
    <row r="50" spans="1:16" x14ac:dyDescent="0.25">
      <c r="B50" s="475" t="str">
        <f>IF(Intro!$G$21="English",O51,P51)</f>
        <v>Si votre entreprise n'a pas produit les marchandises, veuillez expliquer.</v>
      </c>
      <c r="C50" s="476"/>
      <c r="D50" s="476"/>
      <c r="E50" s="476"/>
      <c r="F50" s="476"/>
      <c r="G50" s="476"/>
      <c r="H50" s="476"/>
      <c r="I50" s="476"/>
      <c r="J50" s="476"/>
      <c r="K50" s="476"/>
      <c r="L50" s="477"/>
      <c r="M50" s="2"/>
    </row>
    <row r="51" spans="1:16" x14ac:dyDescent="0.25">
      <c r="B51" s="24"/>
      <c r="C51" s="25"/>
      <c r="D51" s="26"/>
      <c r="E51" s="26"/>
      <c r="F51" s="26"/>
      <c r="G51" s="26"/>
      <c r="H51" s="26"/>
      <c r="I51" s="26"/>
      <c r="J51" s="26"/>
      <c r="K51" s="26"/>
      <c r="L51" s="27"/>
      <c r="M51" s="2"/>
      <c r="O51" s="11" t="s">
        <v>857</v>
      </c>
      <c r="P51" s="2" t="s">
        <v>858</v>
      </c>
    </row>
    <row r="52" spans="1:16" x14ac:dyDescent="0.25">
      <c r="B52" s="496"/>
      <c r="C52" s="497"/>
      <c r="D52" s="497"/>
      <c r="E52" s="497"/>
      <c r="F52" s="497"/>
      <c r="G52" s="497"/>
      <c r="H52" s="497"/>
      <c r="I52" s="497"/>
      <c r="J52" s="497"/>
      <c r="K52" s="497"/>
      <c r="L52" s="498"/>
      <c r="M52" s="2"/>
    </row>
    <row r="53" spans="1:16" x14ac:dyDescent="0.25">
      <c r="B53" s="496"/>
      <c r="C53" s="497"/>
      <c r="D53" s="497"/>
      <c r="E53" s="497"/>
      <c r="F53" s="497"/>
      <c r="G53" s="497"/>
      <c r="H53" s="497"/>
      <c r="I53" s="497"/>
      <c r="J53" s="497"/>
      <c r="K53" s="497"/>
      <c r="L53" s="498"/>
      <c r="M53" s="2"/>
    </row>
    <row r="54" spans="1:16" x14ac:dyDescent="0.25">
      <c r="B54" s="496"/>
      <c r="C54" s="497"/>
      <c r="D54" s="497"/>
      <c r="E54" s="497"/>
      <c r="F54" s="497"/>
      <c r="G54" s="497"/>
      <c r="H54" s="497"/>
      <c r="I54" s="497"/>
      <c r="J54" s="497"/>
      <c r="K54" s="497"/>
      <c r="L54" s="498"/>
      <c r="M54" s="2"/>
    </row>
    <row r="55" spans="1:16" x14ac:dyDescent="0.25">
      <c r="B55" s="496"/>
      <c r="C55" s="497"/>
      <c r="D55" s="497"/>
      <c r="E55" s="497"/>
      <c r="F55" s="497"/>
      <c r="G55" s="497"/>
      <c r="H55" s="497"/>
      <c r="I55" s="497"/>
      <c r="J55" s="497"/>
      <c r="K55" s="497"/>
      <c r="L55" s="498"/>
      <c r="M55" s="2"/>
    </row>
    <row r="56" spans="1:16" x14ac:dyDescent="0.25">
      <c r="B56" s="496"/>
      <c r="C56" s="497"/>
      <c r="D56" s="497"/>
      <c r="E56" s="497"/>
      <c r="F56" s="497"/>
      <c r="G56" s="497"/>
      <c r="H56" s="497"/>
      <c r="I56" s="497"/>
      <c r="J56" s="497"/>
      <c r="K56" s="497"/>
      <c r="L56" s="498"/>
      <c r="M56" s="2"/>
    </row>
    <row r="57" spans="1:16" x14ac:dyDescent="0.25">
      <c r="B57" s="496"/>
      <c r="C57" s="497"/>
      <c r="D57" s="497"/>
      <c r="E57" s="497"/>
      <c r="F57" s="497"/>
      <c r="G57" s="497"/>
      <c r="H57" s="497"/>
      <c r="I57" s="497"/>
      <c r="J57" s="497"/>
      <c r="K57" s="497"/>
      <c r="L57" s="498"/>
      <c r="M57" s="2"/>
    </row>
    <row r="58" spans="1:16" x14ac:dyDescent="0.25">
      <c r="B58" s="496"/>
      <c r="C58" s="497"/>
      <c r="D58" s="497"/>
      <c r="E58" s="497"/>
      <c r="F58" s="497"/>
      <c r="G58" s="497"/>
      <c r="H58" s="497"/>
      <c r="I58" s="497"/>
      <c r="J58" s="497"/>
      <c r="K58" s="497"/>
      <c r="L58" s="498"/>
      <c r="M58" s="2"/>
    </row>
    <row r="59" spans="1:16" x14ac:dyDescent="0.25">
      <c r="B59" s="496"/>
      <c r="C59" s="497"/>
      <c r="D59" s="497"/>
      <c r="E59" s="497"/>
      <c r="F59" s="497"/>
      <c r="G59" s="497"/>
      <c r="H59" s="497"/>
      <c r="I59" s="497"/>
      <c r="J59" s="497"/>
      <c r="K59" s="497"/>
      <c r="L59" s="498"/>
      <c r="M59" s="2"/>
    </row>
    <row r="60" spans="1:16" x14ac:dyDescent="0.25">
      <c r="B60" s="496"/>
      <c r="C60" s="497"/>
      <c r="D60" s="497"/>
      <c r="E60" s="497"/>
      <c r="F60" s="497"/>
      <c r="G60" s="497"/>
      <c r="H60" s="497"/>
      <c r="I60" s="497"/>
      <c r="J60" s="497"/>
      <c r="K60" s="497"/>
      <c r="L60" s="498"/>
      <c r="M60" s="2"/>
    </row>
    <row r="61" spans="1:16" x14ac:dyDescent="0.25">
      <c r="B61" s="496"/>
      <c r="C61" s="497"/>
      <c r="D61" s="497"/>
      <c r="E61" s="497"/>
      <c r="F61" s="497"/>
      <c r="G61" s="497"/>
      <c r="H61" s="497"/>
      <c r="I61" s="497"/>
      <c r="J61" s="497"/>
      <c r="K61" s="497"/>
      <c r="L61" s="498"/>
      <c r="M61" s="2"/>
    </row>
    <row r="62" spans="1:16" x14ac:dyDescent="0.25">
      <c r="B62" s="176"/>
      <c r="C62" s="177"/>
      <c r="D62" s="177"/>
      <c r="E62" s="177"/>
      <c r="F62" s="177"/>
      <c r="G62" s="177"/>
      <c r="H62" s="177"/>
      <c r="I62" s="177"/>
      <c r="J62" s="177"/>
      <c r="K62" s="177"/>
      <c r="L62" s="178"/>
      <c r="M62" s="2"/>
    </row>
    <row r="63" spans="1:16" s="9" customFormat="1" x14ac:dyDescent="0.25">
      <c r="A63" s="13"/>
      <c r="B63" s="22"/>
      <c r="C63" s="22"/>
      <c r="D63" s="23"/>
      <c r="E63" s="23"/>
      <c r="F63" s="23"/>
      <c r="G63" s="23"/>
      <c r="H63" s="23"/>
      <c r="I63" s="23"/>
      <c r="J63" s="23"/>
      <c r="K63" s="23"/>
      <c r="L63" s="23"/>
      <c r="O63" s="10"/>
      <c r="P63" s="10"/>
    </row>
    <row r="64" spans="1:16" s="8" customFormat="1" x14ac:dyDescent="0.25">
      <c r="A64" s="13"/>
      <c r="B64" s="453" t="str">
        <f>IF(Intro!$G$21="English",O64,P64)</f>
        <v>DATE D’ÉCHÉANCE DU QUESTIONNAIRE</v>
      </c>
      <c r="C64" s="454" t="str">
        <f>UPPER(IF(Intro!$G$21="English",P64,Q64))</f>
        <v/>
      </c>
      <c r="D64" s="454" t="str">
        <f>UPPER(IF(Intro!$G$21="English",Q64,R64))</f>
        <v/>
      </c>
      <c r="E64" s="454" t="str">
        <f>UPPER(IF(Intro!$G$21="English",R64,S64))</f>
        <v/>
      </c>
      <c r="F64" s="454"/>
      <c r="G64" s="454" t="str">
        <f>UPPER(IF(Intro!$G$21="English",S64,T64))</f>
        <v/>
      </c>
      <c r="H64" s="454" t="str">
        <f>UPPER(IF(Intro!$G$21="English",T64,U64))</f>
        <v/>
      </c>
      <c r="I64" s="454" t="str">
        <f>UPPER(IF(Intro!$G$21="English",U64,V64))</f>
        <v/>
      </c>
      <c r="J64" s="454" t="str">
        <f>UPPER(IF(Intro!$G$21="English",V64,W64))</f>
        <v/>
      </c>
      <c r="K64" s="454" t="str">
        <f>UPPER(IF(Intro!$G$21="English",W64,X64))</f>
        <v/>
      </c>
      <c r="L64" s="455" t="str">
        <f>UPPER(IF(Intro!$G$21="English",X64,Y64))</f>
        <v/>
      </c>
      <c r="M64" s="9"/>
      <c r="N64" s="15"/>
      <c r="O64" s="14" t="s">
        <v>1</v>
      </c>
      <c r="P64" s="14" t="s">
        <v>399</v>
      </c>
    </row>
    <row r="65" spans="1:16" x14ac:dyDescent="0.25">
      <c r="B65" s="24"/>
      <c r="C65" s="25"/>
      <c r="D65" s="26"/>
      <c r="E65" s="26"/>
      <c r="F65" s="26"/>
      <c r="G65" s="26"/>
      <c r="H65" s="26"/>
      <c r="I65" s="26"/>
      <c r="J65" s="26"/>
      <c r="K65" s="26"/>
      <c r="L65" s="27"/>
      <c r="M65" s="2"/>
    </row>
    <row r="66" spans="1:16" x14ac:dyDescent="0.25">
      <c r="B66" s="170"/>
      <c r="C66" s="2"/>
      <c r="D66" s="490" t="str">
        <f>IF(Intro!$G$21="English",Variables!B11,Variables!C11)</f>
        <v>24 septembre 2026</v>
      </c>
      <c r="E66" s="491"/>
      <c r="F66" s="491"/>
      <c r="G66" s="491"/>
      <c r="H66" s="491"/>
      <c r="I66" s="491"/>
      <c r="J66" s="492"/>
      <c r="K66" s="26"/>
      <c r="L66" s="179"/>
      <c r="M66" s="2"/>
      <c r="O66" s="153"/>
      <c r="P66" s="153"/>
    </row>
    <row r="67" spans="1:16" x14ac:dyDescent="0.25">
      <c r="B67" s="170"/>
      <c r="C67" s="2"/>
      <c r="D67" s="493"/>
      <c r="E67" s="494"/>
      <c r="F67" s="494"/>
      <c r="G67" s="494"/>
      <c r="H67" s="494"/>
      <c r="I67" s="494"/>
      <c r="J67" s="495"/>
      <c r="K67" s="26"/>
      <c r="L67" s="179"/>
      <c r="M67" s="2"/>
      <c r="O67" s="153"/>
      <c r="P67" s="153"/>
    </row>
    <row r="68" spans="1:16" x14ac:dyDescent="0.25">
      <c r="B68" s="176"/>
      <c r="C68" s="177"/>
      <c r="D68" s="177"/>
      <c r="E68" s="177"/>
      <c r="F68" s="177"/>
      <c r="G68" s="177"/>
      <c r="H68" s="177"/>
      <c r="I68" s="177"/>
      <c r="J68" s="177"/>
      <c r="K68" s="177"/>
      <c r="L68" s="178"/>
      <c r="M68" s="2"/>
    </row>
    <row r="69" spans="1:16" s="9" customFormat="1" x14ac:dyDescent="0.25">
      <c r="A69" s="13"/>
      <c r="B69" s="22"/>
      <c r="C69" s="22"/>
      <c r="D69" s="23"/>
      <c r="E69" s="23"/>
      <c r="F69" s="23"/>
      <c r="G69" s="23"/>
      <c r="H69" s="23"/>
      <c r="I69" s="23"/>
      <c r="J69" s="23"/>
      <c r="K69" s="23"/>
      <c r="L69" s="23"/>
      <c r="O69" s="10"/>
      <c r="P69" s="10"/>
    </row>
    <row r="70" spans="1:16" s="8" customFormat="1" x14ac:dyDescent="0.25">
      <c r="A70" s="13"/>
      <c r="B70" s="453" t="str">
        <f>IF(Intro!$G$21="English",O70,P70)</f>
        <v>QUESTIONNAIRE NON REMPLI</v>
      </c>
      <c r="C70" s="454" t="str">
        <f>UPPER(IF(Intro!$G$21="English",P70,Q70))</f>
        <v/>
      </c>
      <c r="D70" s="454" t="str">
        <f>UPPER(IF(Intro!$G$21="English",Q70,R70))</f>
        <v/>
      </c>
      <c r="E70" s="454" t="str">
        <f>UPPER(IF(Intro!$G$21="English",R70,S70))</f>
        <v/>
      </c>
      <c r="F70" s="454"/>
      <c r="G70" s="454" t="str">
        <f>UPPER(IF(Intro!$G$21="English",S70,T70))</f>
        <v/>
      </c>
      <c r="H70" s="454" t="str">
        <f>UPPER(IF(Intro!$G$21="English",T70,U70))</f>
        <v/>
      </c>
      <c r="I70" s="454" t="str">
        <f>UPPER(IF(Intro!$G$21="English",U70,V70))</f>
        <v/>
      </c>
      <c r="J70" s="454" t="str">
        <f>UPPER(IF(Intro!$G$21="English",V70,W70))</f>
        <v/>
      </c>
      <c r="K70" s="454" t="str">
        <f>UPPER(IF(Intro!$G$21="English",W70,X70))</f>
        <v/>
      </c>
      <c r="L70" s="455" t="str">
        <f>UPPER(IF(Intro!$G$21="English",X70,Y70))</f>
        <v/>
      </c>
      <c r="M70" s="9"/>
      <c r="N70" s="15"/>
      <c r="O70" s="14" t="s">
        <v>635</v>
      </c>
      <c r="P70" s="14" t="s">
        <v>636</v>
      </c>
    </row>
    <row r="71" spans="1:16" x14ac:dyDescent="0.25">
      <c r="B71" s="24"/>
      <c r="C71" s="25"/>
      <c r="D71" s="26"/>
      <c r="E71" s="26"/>
      <c r="F71" s="26"/>
      <c r="G71" s="26"/>
      <c r="H71" s="26"/>
      <c r="I71" s="26"/>
      <c r="J71" s="26"/>
      <c r="K71" s="26"/>
      <c r="L71" s="27"/>
      <c r="M71" s="2"/>
    </row>
    <row r="72" spans="1:16" x14ac:dyDescent="0.25">
      <c r="B72" s="456" t="str">
        <f>IF(Intro!$G$21="English",O72,P72)</f>
        <v>Si le questionnaire n’est pas rempli dans les délais impartis, le Tribunal peut rendre une ordonnance de production, aux termes de l’article  17 de la Loi sur le Tribunal canadien du commerce extérieur, afin d’exiger la production d’une réponse au questionnaire.</v>
      </c>
      <c r="C72" s="457"/>
      <c r="D72" s="457"/>
      <c r="E72" s="457"/>
      <c r="F72" s="457"/>
      <c r="G72" s="457"/>
      <c r="H72" s="457"/>
      <c r="I72" s="457"/>
      <c r="J72" s="457"/>
      <c r="K72" s="457"/>
      <c r="L72" s="458"/>
      <c r="M72" s="2"/>
      <c r="O72" s="2" t="s">
        <v>318</v>
      </c>
      <c r="P72" s="2" t="s">
        <v>402</v>
      </c>
    </row>
    <row r="73" spans="1:16" x14ac:dyDescent="0.25">
      <c r="B73" s="456"/>
      <c r="C73" s="457"/>
      <c r="D73" s="457"/>
      <c r="E73" s="457"/>
      <c r="F73" s="457"/>
      <c r="G73" s="457"/>
      <c r="H73" s="457"/>
      <c r="I73" s="457"/>
      <c r="J73" s="457"/>
      <c r="K73" s="457"/>
      <c r="L73" s="458"/>
      <c r="M73" s="2"/>
    </row>
    <row r="74" spans="1:16" x14ac:dyDescent="0.25">
      <c r="B74" s="176"/>
      <c r="C74" s="177"/>
      <c r="D74" s="177"/>
      <c r="E74" s="177"/>
      <c r="F74" s="177"/>
      <c r="G74" s="177"/>
      <c r="H74" s="177"/>
      <c r="I74" s="177"/>
      <c r="J74" s="177"/>
      <c r="K74" s="177"/>
      <c r="L74" s="178"/>
      <c r="M74" s="2"/>
    </row>
    <row r="75" spans="1:16" s="9" customFormat="1" x14ac:dyDescent="0.25">
      <c r="A75" s="13"/>
      <c r="B75" s="22"/>
      <c r="C75" s="22"/>
      <c r="D75" s="23"/>
      <c r="E75" s="23"/>
      <c r="F75" s="23"/>
      <c r="G75" s="23"/>
      <c r="H75" s="23"/>
      <c r="I75" s="23"/>
      <c r="J75" s="23"/>
      <c r="K75" s="23"/>
      <c r="L75" s="23"/>
      <c r="O75" s="10"/>
      <c r="P75" s="10"/>
    </row>
    <row r="76" spans="1:16" x14ac:dyDescent="0.25">
      <c r="B76" s="453" t="str">
        <f>IF(Intro!$G$21="English",O76,P76)</f>
        <v>RENSEIGNEMENTS SUR L’ENTREPRISE</v>
      </c>
      <c r="C76" s="454"/>
      <c r="D76" s="454"/>
      <c r="E76" s="454"/>
      <c r="F76" s="454"/>
      <c r="G76" s="454"/>
      <c r="H76" s="454"/>
      <c r="I76" s="454"/>
      <c r="J76" s="454"/>
      <c r="K76" s="454"/>
      <c r="L76" s="455"/>
      <c r="M76" s="2"/>
      <c r="O76" s="2" t="s">
        <v>5</v>
      </c>
      <c r="P76" s="2" t="s">
        <v>6</v>
      </c>
    </row>
    <row r="77" spans="1:16" x14ac:dyDescent="0.25">
      <c r="B77" s="24"/>
      <c r="C77" s="25"/>
      <c r="D77" s="26"/>
      <c r="E77" s="26"/>
      <c r="F77" s="26"/>
      <c r="G77" s="26"/>
      <c r="H77" s="26"/>
      <c r="I77" s="26"/>
      <c r="J77" s="26"/>
      <c r="K77" s="26"/>
      <c r="L77" s="27"/>
      <c r="M77" s="2"/>
    </row>
    <row r="78" spans="1:16" x14ac:dyDescent="0.25">
      <c r="B78" s="473" t="str">
        <f>IF(Intro!$G$21="English",O78,P78)</f>
        <v>Dénomination sociale (en français et en anglais, le cas échéant)</v>
      </c>
      <c r="C78" s="474"/>
      <c r="D78" s="474"/>
      <c r="E78" s="502"/>
      <c r="F78" s="502"/>
      <c r="G78" s="502"/>
      <c r="H78" s="502"/>
      <c r="I78" s="502"/>
      <c r="J78" s="502"/>
      <c r="K78" s="502"/>
      <c r="L78" s="503"/>
      <c r="M78" s="2"/>
      <c r="O78" s="11" t="s">
        <v>394</v>
      </c>
      <c r="P78" s="2" t="s">
        <v>395</v>
      </c>
    </row>
    <row r="79" spans="1:16" x14ac:dyDescent="0.25">
      <c r="B79" s="473"/>
      <c r="C79" s="474"/>
      <c r="D79" s="474"/>
      <c r="E79" s="502"/>
      <c r="F79" s="502"/>
      <c r="G79" s="502"/>
      <c r="H79" s="502"/>
      <c r="I79" s="502"/>
      <c r="J79" s="502"/>
      <c r="K79" s="502"/>
      <c r="L79" s="503"/>
      <c r="M79" s="2"/>
      <c r="O79" s="11"/>
    </row>
    <row r="80" spans="1:16" x14ac:dyDescent="0.25">
      <c r="B80" s="473" t="str">
        <f>IF(Intro!$G$21="English",O80,P80)</f>
        <v>Adresse de l’entreprise</v>
      </c>
      <c r="C80" s="474"/>
      <c r="D80" s="474"/>
      <c r="E80" s="502"/>
      <c r="F80" s="502"/>
      <c r="G80" s="502"/>
      <c r="H80" s="502"/>
      <c r="I80" s="502"/>
      <c r="J80" s="502"/>
      <c r="K80" s="502"/>
      <c r="L80" s="503"/>
      <c r="M80" s="2"/>
      <c r="O80" s="11" t="s">
        <v>7</v>
      </c>
      <c r="P80" s="2" t="s">
        <v>400</v>
      </c>
    </row>
    <row r="81" spans="2:16" x14ac:dyDescent="0.25">
      <c r="B81" s="473"/>
      <c r="C81" s="474"/>
      <c r="D81" s="474"/>
      <c r="E81" s="502"/>
      <c r="F81" s="502"/>
      <c r="G81" s="502"/>
      <c r="H81" s="502"/>
      <c r="I81" s="502"/>
      <c r="J81" s="502"/>
      <c r="K81" s="502"/>
      <c r="L81" s="503"/>
      <c r="M81" s="2"/>
      <c r="O81" s="11"/>
    </row>
    <row r="82" spans="2:16" x14ac:dyDescent="0.25">
      <c r="B82" s="473" t="str">
        <f>IF(Intro!$G$21="English",O82,P82)</f>
        <v>Adresse du site Web</v>
      </c>
      <c r="C82" s="474"/>
      <c r="D82" s="474"/>
      <c r="E82" s="502"/>
      <c r="F82" s="502"/>
      <c r="G82" s="502"/>
      <c r="H82" s="502"/>
      <c r="I82" s="502"/>
      <c r="J82" s="502"/>
      <c r="K82" s="502"/>
      <c r="L82" s="503"/>
      <c r="M82" s="2"/>
      <c r="O82" s="11" t="s">
        <v>9</v>
      </c>
      <c r="P82" s="2" t="s">
        <v>10</v>
      </c>
    </row>
    <row r="83" spans="2:16" x14ac:dyDescent="0.25">
      <c r="B83" s="473"/>
      <c r="C83" s="474"/>
      <c r="D83" s="474"/>
      <c r="E83" s="502"/>
      <c r="F83" s="502"/>
      <c r="G83" s="502"/>
      <c r="H83" s="502"/>
      <c r="I83" s="502"/>
      <c r="J83" s="502"/>
      <c r="K83" s="502"/>
      <c r="L83" s="503"/>
      <c r="M83" s="2"/>
      <c r="O83" s="11"/>
    </row>
    <row r="84" spans="2:16" x14ac:dyDescent="0.25">
      <c r="B84" s="147"/>
      <c r="C84" s="148"/>
      <c r="D84" s="149"/>
      <c r="E84" s="149"/>
      <c r="F84" s="149"/>
      <c r="G84" s="149"/>
      <c r="H84" s="149"/>
      <c r="I84" s="149"/>
      <c r="J84" s="149"/>
      <c r="K84" s="149"/>
      <c r="L84" s="150"/>
      <c r="M84" s="2"/>
    </row>
    <row r="85" spans="2:16" x14ac:dyDescent="0.25">
      <c r="B85" s="204" t="str">
        <f>IF(Intro!$G$21="English",O85,P85)</f>
        <v>Si votre entreprise possède plusieurs sites, installations ou points de vente, soumettez une réponse consolidée au questionnaire.</v>
      </c>
      <c r="C85" s="151"/>
      <c r="D85" s="151"/>
      <c r="E85" s="151"/>
      <c r="F85" s="151"/>
      <c r="G85" s="151"/>
      <c r="H85" s="151"/>
      <c r="I85" s="151"/>
      <c r="J85" s="151"/>
      <c r="K85" s="151"/>
      <c r="L85" s="162"/>
      <c r="M85" s="2"/>
      <c r="O85" s="2" t="s">
        <v>363</v>
      </c>
      <c r="P85" s="2" t="s">
        <v>396</v>
      </c>
    </row>
    <row r="86" spans="2:16" x14ac:dyDescent="0.25">
      <c r="B86" s="478" t="str">
        <f>IF(Intro!$G$21="English",O86,P86)</f>
        <v>Fournissez les noms et adresses des autres emplacements, installations et points de vente au Canada au nom desquels votre entreprise répond.</v>
      </c>
      <c r="C86" s="479"/>
      <c r="D86" s="479"/>
      <c r="E86" s="484"/>
      <c r="F86" s="484"/>
      <c r="G86" s="484"/>
      <c r="H86" s="484"/>
      <c r="I86" s="484"/>
      <c r="J86" s="484"/>
      <c r="K86" s="484"/>
      <c r="L86" s="485"/>
      <c r="M86" s="2"/>
      <c r="O86" s="11" t="s">
        <v>11</v>
      </c>
      <c r="P86" s="2" t="s">
        <v>397</v>
      </c>
    </row>
    <row r="87" spans="2:16" x14ac:dyDescent="0.25">
      <c r="B87" s="480"/>
      <c r="C87" s="481"/>
      <c r="D87" s="481"/>
      <c r="E87" s="486"/>
      <c r="F87" s="486"/>
      <c r="G87" s="486"/>
      <c r="H87" s="486"/>
      <c r="I87" s="486"/>
      <c r="J87" s="486"/>
      <c r="K87" s="486"/>
      <c r="L87" s="487"/>
      <c r="M87" s="2"/>
      <c r="O87" s="11"/>
    </row>
    <row r="88" spans="2:16" x14ac:dyDescent="0.25">
      <c r="B88" s="480"/>
      <c r="C88" s="481"/>
      <c r="D88" s="481"/>
      <c r="E88" s="486"/>
      <c r="F88" s="486"/>
      <c r="G88" s="486"/>
      <c r="H88" s="486"/>
      <c r="I88" s="486"/>
      <c r="J88" s="486"/>
      <c r="K88" s="486"/>
      <c r="L88" s="487"/>
      <c r="M88" s="2"/>
      <c r="O88" s="11"/>
    </row>
    <row r="89" spans="2:16" x14ac:dyDescent="0.25">
      <c r="B89" s="480"/>
      <c r="C89" s="481"/>
      <c r="D89" s="481"/>
      <c r="E89" s="486"/>
      <c r="F89" s="486"/>
      <c r="G89" s="486"/>
      <c r="H89" s="486"/>
      <c r="I89" s="486"/>
      <c r="J89" s="486"/>
      <c r="K89" s="486"/>
      <c r="L89" s="487"/>
      <c r="M89" s="2"/>
      <c r="O89" s="11"/>
    </row>
    <row r="90" spans="2:16" x14ac:dyDescent="0.25">
      <c r="B90" s="480"/>
      <c r="C90" s="481"/>
      <c r="D90" s="481"/>
      <c r="E90" s="486"/>
      <c r="F90" s="486"/>
      <c r="G90" s="486"/>
      <c r="H90" s="486"/>
      <c r="I90" s="486"/>
      <c r="J90" s="486"/>
      <c r="K90" s="486"/>
      <c r="L90" s="487"/>
      <c r="M90" s="2"/>
      <c r="O90" s="11"/>
    </row>
    <row r="91" spans="2:16" x14ac:dyDescent="0.25">
      <c r="B91" s="480"/>
      <c r="C91" s="481"/>
      <c r="D91" s="481"/>
      <c r="E91" s="486"/>
      <c r="F91" s="486"/>
      <c r="G91" s="486"/>
      <c r="H91" s="486"/>
      <c r="I91" s="486"/>
      <c r="J91" s="486"/>
      <c r="K91" s="486"/>
      <c r="L91" s="487"/>
      <c r="M91" s="2"/>
      <c r="O91" s="11"/>
    </row>
    <row r="92" spans="2:16" x14ac:dyDescent="0.25">
      <c r="B92" s="480"/>
      <c r="C92" s="481"/>
      <c r="D92" s="481"/>
      <c r="E92" s="486"/>
      <c r="F92" s="486"/>
      <c r="G92" s="486"/>
      <c r="H92" s="486"/>
      <c r="I92" s="486"/>
      <c r="J92" s="486"/>
      <c r="K92" s="486"/>
      <c r="L92" s="487"/>
      <c r="M92" s="2"/>
      <c r="O92" s="11"/>
    </row>
    <row r="93" spans="2:16" x14ac:dyDescent="0.25">
      <c r="B93" s="480"/>
      <c r="C93" s="481"/>
      <c r="D93" s="481"/>
      <c r="E93" s="486"/>
      <c r="F93" s="486"/>
      <c r="G93" s="486"/>
      <c r="H93" s="486"/>
      <c r="I93" s="486"/>
      <c r="J93" s="486"/>
      <c r="K93" s="486"/>
      <c r="L93" s="487"/>
      <c r="M93" s="2"/>
      <c r="O93" s="11"/>
    </row>
    <row r="94" spans="2:16" x14ac:dyDescent="0.25">
      <c r="B94" s="480"/>
      <c r="C94" s="481"/>
      <c r="D94" s="481"/>
      <c r="E94" s="486"/>
      <c r="F94" s="486"/>
      <c r="G94" s="486"/>
      <c r="H94" s="486"/>
      <c r="I94" s="486"/>
      <c r="J94" s="486"/>
      <c r="K94" s="486"/>
      <c r="L94" s="487"/>
      <c r="M94" s="2"/>
      <c r="O94" s="11"/>
    </row>
    <row r="95" spans="2:16" x14ac:dyDescent="0.25">
      <c r="B95" s="482"/>
      <c r="C95" s="483"/>
      <c r="D95" s="483"/>
      <c r="E95" s="488"/>
      <c r="F95" s="488"/>
      <c r="G95" s="488"/>
      <c r="H95" s="488"/>
      <c r="I95" s="488"/>
      <c r="J95" s="488"/>
      <c r="K95" s="488"/>
      <c r="L95" s="489"/>
      <c r="M95" s="2"/>
      <c r="O95" s="11"/>
    </row>
    <row r="96" spans="2:16" x14ac:dyDescent="0.25">
      <c r="B96" s="176"/>
      <c r="C96" s="177"/>
      <c r="D96" s="177"/>
      <c r="E96" s="177"/>
      <c r="F96" s="177"/>
      <c r="G96" s="177"/>
      <c r="H96" s="177"/>
      <c r="I96" s="177"/>
      <c r="J96" s="177"/>
      <c r="K96" s="177"/>
      <c r="L96" s="178"/>
      <c r="M96" s="2"/>
    </row>
    <row r="98" spans="2:16" x14ac:dyDescent="0.25">
      <c r="B98" s="504" t="str">
        <f>IF(Intro!$G$21="English",O98,P98)</f>
        <v>COORDONNÉES DE LA PERSONNE QUI A REMPLI LE QUESTIONNAIRE</v>
      </c>
      <c r="C98" s="505"/>
      <c r="D98" s="505"/>
      <c r="E98" s="505"/>
      <c r="F98" s="505"/>
      <c r="G98" s="505"/>
      <c r="H98" s="505"/>
      <c r="I98" s="505"/>
      <c r="J98" s="505"/>
      <c r="K98" s="505"/>
      <c r="L98" s="506"/>
      <c r="M98" s="2"/>
      <c r="O98" s="2" t="s">
        <v>851</v>
      </c>
      <c r="P98" s="2" t="s">
        <v>852</v>
      </c>
    </row>
    <row r="99" spans="2:16" x14ac:dyDescent="0.25">
      <c r="B99" s="24"/>
      <c r="C99" s="25"/>
      <c r="D99" s="26"/>
      <c r="E99" s="26"/>
      <c r="F99" s="26"/>
      <c r="G99" s="26"/>
      <c r="H99" s="26"/>
      <c r="I99" s="26"/>
      <c r="J99" s="26"/>
      <c r="K99" s="26"/>
      <c r="L99" s="27"/>
      <c r="M99" s="2"/>
    </row>
    <row r="100" spans="2:16" x14ac:dyDescent="0.25">
      <c r="B100" s="507" t="str">
        <f>IF(Intro!$G$21="English",O100,P100)</f>
        <v>Nom</v>
      </c>
      <c r="C100" s="508"/>
      <c r="D100" s="509"/>
      <c r="E100" s="513"/>
      <c r="F100" s="514"/>
      <c r="G100" s="514"/>
      <c r="H100" s="514"/>
      <c r="I100" s="514"/>
      <c r="J100" s="514"/>
      <c r="K100" s="514"/>
      <c r="L100" s="515"/>
      <c r="M100" s="2"/>
      <c r="O100" s="11" t="s">
        <v>853</v>
      </c>
      <c r="P100" s="2" t="s">
        <v>854</v>
      </c>
    </row>
    <row r="101" spans="2:16" x14ac:dyDescent="0.25">
      <c r="B101" s="510"/>
      <c r="C101" s="511"/>
      <c r="D101" s="512"/>
      <c r="E101" s="516"/>
      <c r="F101" s="517"/>
      <c r="G101" s="517"/>
      <c r="H101" s="517"/>
      <c r="I101" s="517"/>
      <c r="J101" s="517"/>
      <c r="K101" s="517"/>
      <c r="L101" s="518"/>
      <c r="M101" s="2"/>
      <c r="O101" s="11"/>
    </row>
    <row r="102" spans="2:16" x14ac:dyDescent="0.25">
      <c r="B102" s="507" t="str">
        <f>IF(Intro!$G$21="English",O102,P102)</f>
        <v>Titre</v>
      </c>
      <c r="C102" s="508"/>
      <c r="D102" s="509"/>
      <c r="E102" s="513"/>
      <c r="F102" s="514"/>
      <c r="G102" s="514"/>
      <c r="H102" s="514"/>
      <c r="I102" s="514"/>
      <c r="J102" s="514"/>
      <c r="K102" s="514"/>
      <c r="L102" s="515"/>
      <c r="M102" s="2"/>
      <c r="O102" s="11" t="s">
        <v>855</v>
      </c>
      <c r="P102" s="2" t="s">
        <v>856</v>
      </c>
    </row>
    <row r="103" spans="2:16" x14ac:dyDescent="0.25">
      <c r="B103" s="510"/>
      <c r="C103" s="511"/>
      <c r="D103" s="512"/>
      <c r="E103" s="516"/>
      <c r="F103" s="517"/>
      <c r="G103" s="517"/>
      <c r="H103" s="517"/>
      <c r="I103" s="517"/>
      <c r="J103" s="517"/>
      <c r="K103" s="517"/>
      <c r="L103" s="518"/>
      <c r="M103" s="2"/>
      <c r="O103" s="11"/>
    </row>
    <row r="104" spans="2:16" x14ac:dyDescent="0.25">
      <c r="B104" s="507" t="str">
        <f>IF(Intro!$G$21="English",O104,P104)</f>
        <v>Adresse courriel</v>
      </c>
      <c r="C104" s="508"/>
      <c r="D104" s="509"/>
      <c r="E104" s="513"/>
      <c r="F104" s="514"/>
      <c r="G104" s="514"/>
      <c r="H104" s="514"/>
      <c r="I104" s="514"/>
      <c r="J104" s="514"/>
      <c r="K104" s="514"/>
      <c r="L104" s="515"/>
      <c r="M104" s="2"/>
      <c r="O104" s="11" t="s">
        <v>134</v>
      </c>
      <c r="P104" s="2" t="s">
        <v>435</v>
      </c>
    </row>
    <row r="105" spans="2:16" x14ac:dyDescent="0.25">
      <c r="B105" s="510"/>
      <c r="C105" s="511"/>
      <c r="D105" s="512"/>
      <c r="E105" s="516"/>
      <c r="F105" s="517"/>
      <c r="G105" s="517"/>
      <c r="H105" s="517"/>
      <c r="I105" s="517"/>
      <c r="J105" s="517"/>
      <c r="K105" s="517"/>
      <c r="L105" s="518"/>
      <c r="M105" s="2"/>
      <c r="O105" s="11"/>
    </row>
    <row r="106" spans="2:16" x14ac:dyDescent="0.25">
      <c r="B106" s="507" t="str">
        <f>IF(Intro!$G$21="English",O106,P106)</f>
        <v>Téléphone</v>
      </c>
      <c r="C106" s="508"/>
      <c r="D106" s="509"/>
      <c r="E106" s="513"/>
      <c r="F106" s="514"/>
      <c r="G106" s="514"/>
      <c r="H106" s="514"/>
      <c r="I106" s="514"/>
      <c r="J106" s="514"/>
      <c r="K106" s="514"/>
      <c r="L106" s="515"/>
      <c r="M106" s="2"/>
      <c r="O106" s="11" t="s">
        <v>16</v>
      </c>
      <c r="P106" s="2" t="s">
        <v>17</v>
      </c>
    </row>
    <row r="107" spans="2:16" x14ac:dyDescent="0.25">
      <c r="B107" s="510"/>
      <c r="C107" s="511"/>
      <c r="D107" s="512"/>
      <c r="E107" s="516"/>
      <c r="F107" s="517"/>
      <c r="G107" s="517"/>
      <c r="H107" s="517"/>
      <c r="I107" s="517"/>
      <c r="J107" s="517"/>
      <c r="K107" s="517"/>
      <c r="L107" s="518"/>
      <c r="M107" s="2"/>
      <c r="O107" s="11"/>
    </row>
    <row r="108" spans="2:16" x14ac:dyDescent="0.25">
      <c r="B108" s="176"/>
      <c r="C108" s="177"/>
      <c r="D108" s="177"/>
      <c r="E108" s="177"/>
      <c r="F108" s="177"/>
      <c r="G108" s="177"/>
      <c r="H108" s="177"/>
      <c r="I108" s="177"/>
      <c r="J108" s="177"/>
      <c r="K108" s="177"/>
      <c r="L108" s="178"/>
      <c r="M108" s="2"/>
    </row>
    <row r="109" spans="2:16" x14ac:dyDescent="0.25">
      <c r="B109" s="453" t="str">
        <f>IF(Intro!$G$21="English",O109,P109)</f>
        <v>ATTESTATION</v>
      </c>
      <c r="C109" s="454"/>
      <c r="D109" s="454"/>
      <c r="E109" s="454"/>
      <c r="F109" s="454"/>
      <c r="G109" s="454"/>
      <c r="H109" s="454"/>
      <c r="I109" s="454"/>
      <c r="J109" s="454"/>
      <c r="K109" s="454"/>
      <c r="L109" s="455"/>
      <c r="M109" s="2"/>
      <c r="O109" s="2" t="s">
        <v>3</v>
      </c>
      <c r="P109" s="2" t="s">
        <v>4</v>
      </c>
    </row>
    <row r="110" spans="2:16" x14ac:dyDescent="0.25">
      <c r="B110" s="24"/>
      <c r="C110" s="25"/>
      <c r="D110" s="26"/>
      <c r="E110" s="26"/>
      <c r="F110" s="26"/>
      <c r="G110" s="26"/>
      <c r="H110" s="26"/>
      <c r="I110" s="26"/>
      <c r="J110" s="26"/>
      <c r="K110" s="26"/>
      <c r="L110" s="27"/>
      <c r="M110" s="2"/>
    </row>
    <row r="111" spans="2:16" x14ac:dyDescent="0.25">
      <c r="B111" s="475" t="str">
        <f>IF(Intro!$G$21="English",O111,P111)</f>
        <v>Le soussigné déclare que, pour autant qu’il sache, les renseignements fournis aux présentes sont complets et exacts.</v>
      </c>
      <c r="C111" s="476"/>
      <c r="D111" s="476"/>
      <c r="E111" s="476"/>
      <c r="F111" s="476"/>
      <c r="G111" s="476"/>
      <c r="H111" s="476"/>
      <c r="I111" s="476"/>
      <c r="J111" s="476"/>
      <c r="K111" s="476"/>
      <c r="L111" s="477"/>
      <c r="M111" s="2"/>
      <c r="O111" s="2" t="s">
        <v>673</v>
      </c>
      <c r="P111" s="2" t="s">
        <v>674</v>
      </c>
    </row>
    <row r="112" spans="2:16" x14ac:dyDescent="0.25">
      <c r="B112" s="170"/>
      <c r="C112" s="171"/>
      <c r="D112" s="171"/>
      <c r="E112" s="171"/>
      <c r="F112" s="171"/>
      <c r="G112" s="171"/>
      <c r="H112" s="171"/>
      <c r="I112" s="171"/>
      <c r="J112" s="171"/>
      <c r="K112" s="171"/>
      <c r="L112" s="172"/>
      <c r="M112" s="2"/>
    </row>
    <row r="113" spans="1:16" x14ac:dyDescent="0.25">
      <c r="B113" s="473" t="str">
        <f>IF(Intro!$G$21="English",O113,P113)</f>
        <v>Nom du représentant autorisé</v>
      </c>
      <c r="C113" s="474"/>
      <c r="D113" s="474"/>
      <c r="E113" s="502"/>
      <c r="F113" s="502"/>
      <c r="G113" s="502"/>
      <c r="H113" s="502"/>
      <c r="I113" s="502"/>
      <c r="J113" s="502"/>
      <c r="K113" s="502"/>
      <c r="L113" s="503"/>
      <c r="M113" s="2"/>
      <c r="O113" s="11" t="s">
        <v>12</v>
      </c>
      <c r="P113" s="2" t="s">
        <v>13</v>
      </c>
    </row>
    <row r="114" spans="1:16" x14ac:dyDescent="0.25">
      <c r="B114" s="473"/>
      <c r="C114" s="474"/>
      <c r="D114" s="474"/>
      <c r="E114" s="502"/>
      <c r="F114" s="502"/>
      <c r="G114" s="502"/>
      <c r="H114" s="502"/>
      <c r="I114" s="502"/>
      <c r="J114" s="502"/>
      <c r="K114" s="502"/>
      <c r="L114" s="503"/>
      <c r="M114" s="2"/>
      <c r="O114" s="11"/>
    </row>
    <row r="115" spans="1:16" x14ac:dyDescent="0.25">
      <c r="B115" s="473" t="str">
        <f>IF(Intro!$G$21="English",O115,P115)</f>
        <v>Titre du représentant autorisé</v>
      </c>
      <c r="C115" s="474"/>
      <c r="D115" s="474"/>
      <c r="E115" s="502"/>
      <c r="F115" s="502"/>
      <c r="G115" s="502"/>
      <c r="H115" s="502"/>
      <c r="I115" s="502"/>
      <c r="J115" s="502"/>
      <c r="K115" s="502"/>
      <c r="L115" s="503"/>
      <c r="M115" s="2"/>
      <c r="O115" s="11" t="s">
        <v>14</v>
      </c>
      <c r="P115" s="2" t="s">
        <v>15</v>
      </c>
    </row>
    <row r="116" spans="1:16" x14ac:dyDescent="0.25">
      <c r="B116" s="473"/>
      <c r="C116" s="474"/>
      <c r="D116" s="474"/>
      <c r="E116" s="502"/>
      <c r="F116" s="502"/>
      <c r="G116" s="502"/>
      <c r="H116" s="502"/>
      <c r="I116" s="502"/>
      <c r="J116" s="502"/>
      <c r="K116" s="502"/>
      <c r="L116" s="503"/>
      <c r="M116" s="2"/>
      <c r="O116" s="11"/>
    </row>
    <row r="117" spans="1:16" x14ac:dyDescent="0.25">
      <c r="B117" s="473" t="str">
        <f>IF(Intro!$G$21="English",O117,P117)</f>
        <v>Adresse courriel</v>
      </c>
      <c r="C117" s="474"/>
      <c r="D117" s="474"/>
      <c r="E117" s="502"/>
      <c r="F117" s="502"/>
      <c r="G117" s="502"/>
      <c r="H117" s="502"/>
      <c r="I117" s="502"/>
      <c r="J117" s="502"/>
      <c r="K117" s="502"/>
      <c r="L117" s="503"/>
      <c r="M117" s="2"/>
      <c r="O117" s="11" t="s">
        <v>134</v>
      </c>
      <c r="P117" s="2" t="s">
        <v>435</v>
      </c>
    </row>
    <row r="118" spans="1:16" x14ac:dyDescent="0.25">
      <c r="B118" s="473"/>
      <c r="C118" s="474"/>
      <c r="D118" s="474"/>
      <c r="E118" s="502"/>
      <c r="F118" s="502"/>
      <c r="G118" s="502"/>
      <c r="H118" s="502"/>
      <c r="I118" s="502"/>
      <c r="J118" s="502"/>
      <c r="K118" s="502"/>
      <c r="L118" s="503"/>
      <c r="M118" s="2"/>
      <c r="O118" s="11"/>
    </row>
    <row r="119" spans="1:16" x14ac:dyDescent="0.25">
      <c r="B119" s="473" t="str">
        <f>IF(Intro!$G$21="English",O119,P119)</f>
        <v>Téléphone</v>
      </c>
      <c r="C119" s="474"/>
      <c r="D119" s="474"/>
      <c r="E119" s="502"/>
      <c r="F119" s="502"/>
      <c r="G119" s="502"/>
      <c r="H119" s="502"/>
      <c r="I119" s="502"/>
      <c r="J119" s="502"/>
      <c r="K119" s="502"/>
      <c r="L119" s="503"/>
      <c r="M119" s="2"/>
      <c r="O119" s="11" t="s">
        <v>16</v>
      </c>
      <c r="P119" s="2" t="s">
        <v>17</v>
      </c>
    </row>
    <row r="120" spans="1:16" x14ac:dyDescent="0.25">
      <c r="B120" s="473"/>
      <c r="C120" s="474"/>
      <c r="D120" s="474"/>
      <c r="E120" s="502"/>
      <c r="F120" s="502"/>
      <c r="G120" s="502"/>
      <c r="H120" s="502"/>
      <c r="I120" s="502"/>
      <c r="J120" s="502"/>
      <c r="K120" s="502"/>
      <c r="L120" s="503"/>
      <c r="M120" s="2"/>
      <c r="O120" s="11"/>
    </row>
    <row r="121" spans="1:16" x14ac:dyDescent="0.25">
      <c r="B121" s="473" t="s">
        <v>135</v>
      </c>
      <c r="C121" s="474"/>
      <c r="D121" s="474"/>
      <c r="E121" s="538"/>
      <c r="F121" s="502"/>
      <c r="G121" s="502"/>
      <c r="H121" s="502"/>
      <c r="I121" s="502"/>
      <c r="J121" s="502"/>
      <c r="K121" s="502"/>
      <c r="L121" s="503"/>
      <c r="M121" s="2"/>
      <c r="O121" s="11"/>
    </row>
    <row r="122" spans="1:16" x14ac:dyDescent="0.25">
      <c r="B122" s="473"/>
      <c r="C122" s="474"/>
      <c r="D122" s="474"/>
      <c r="E122" s="502"/>
      <c r="F122" s="502"/>
      <c r="G122" s="502"/>
      <c r="H122" s="502"/>
      <c r="I122" s="502"/>
      <c r="J122" s="502"/>
      <c r="K122" s="502"/>
      <c r="L122" s="503"/>
      <c r="M122" s="2"/>
      <c r="O122" s="11"/>
    </row>
    <row r="123" spans="1:16" x14ac:dyDescent="0.25">
      <c r="B123" s="170"/>
      <c r="C123" s="171"/>
      <c r="D123" s="171"/>
      <c r="E123" s="171"/>
      <c r="F123" s="171"/>
      <c r="G123" s="171"/>
      <c r="H123" s="171"/>
      <c r="I123" s="171"/>
      <c r="J123" s="171"/>
      <c r="K123" s="171"/>
      <c r="L123" s="172"/>
      <c r="M123" s="2"/>
    </row>
    <row r="124" spans="1:16" ht="21" x14ac:dyDescent="0.25">
      <c r="B124" s="450" t="str">
        <f>IF(Intro!$G$21="English",O124,P124)</f>
        <v>Je comprends que le fait de cocher cette case constitue ma signature juridiquement contraignante.</v>
      </c>
      <c r="C124" s="451"/>
      <c r="D124" s="451"/>
      <c r="E124" s="451"/>
      <c r="F124" s="451"/>
      <c r="G124" s="451"/>
      <c r="H124" s="451"/>
      <c r="I124" s="451"/>
      <c r="J124" s="205"/>
      <c r="K124" s="145"/>
      <c r="L124" s="146"/>
      <c r="M124" s="2"/>
      <c r="O124" s="11" t="s">
        <v>111</v>
      </c>
      <c r="P124" s="2" t="s">
        <v>112</v>
      </c>
    </row>
    <row r="125" spans="1:16" x14ac:dyDescent="0.25">
      <c r="B125" s="176"/>
      <c r="C125" s="177"/>
      <c r="D125" s="177"/>
      <c r="E125" s="177"/>
      <c r="F125" s="177"/>
      <c r="G125" s="177"/>
      <c r="H125" s="177"/>
      <c r="I125" s="177"/>
      <c r="J125" s="177"/>
      <c r="K125" s="177"/>
      <c r="L125" s="178"/>
      <c r="M125" s="2"/>
    </row>
    <row r="126" spans="1:16" s="9" customFormat="1" x14ac:dyDescent="0.25">
      <c r="A126" s="13"/>
      <c r="B126" s="22"/>
      <c r="C126" s="22"/>
      <c r="D126" s="23"/>
      <c r="E126" s="23"/>
      <c r="F126" s="23"/>
      <c r="G126" s="23"/>
      <c r="H126" s="23"/>
      <c r="I126" s="23"/>
      <c r="J126" s="23"/>
      <c r="K126" s="23"/>
      <c r="L126" s="23"/>
      <c r="O126" s="10"/>
      <c r="P126" s="10"/>
    </row>
    <row r="127" spans="1:16" s="8" customFormat="1" x14ac:dyDescent="0.25">
      <c r="A127" s="13"/>
      <c r="B127" s="453" t="str">
        <f>IF(Intro!$G$21="English",O127,P127)</f>
        <v>TRANSMISSION DU QUESTIONNAIRE REMPLI</v>
      </c>
      <c r="C127" s="454" t="str">
        <f>UPPER(IF(Intro!$G$21="English",P127,Q127))</f>
        <v/>
      </c>
      <c r="D127" s="454" t="str">
        <f>UPPER(IF(Intro!$G$21="English",Q127,R127))</f>
        <v/>
      </c>
      <c r="E127" s="454" t="str">
        <f>UPPER(IF(Intro!$G$21="English",R127,S127))</f>
        <v/>
      </c>
      <c r="F127" s="454"/>
      <c r="G127" s="454" t="str">
        <f>UPPER(IF(Intro!$G$21="English",S127,T127))</f>
        <v/>
      </c>
      <c r="H127" s="454" t="str">
        <f>UPPER(IF(Intro!$G$21="English",T127,U127))</f>
        <v/>
      </c>
      <c r="I127" s="454" t="str">
        <f>UPPER(IF(Intro!$G$21="English",U127,V127))</f>
        <v/>
      </c>
      <c r="J127" s="454" t="str">
        <f>UPPER(IF(Intro!$G$21="English",V127,W127))</f>
        <v/>
      </c>
      <c r="K127" s="454" t="str">
        <f>UPPER(IF(Intro!$G$21="English",W127,X127))</f>
        <v/>
      </c>
      <c r="L127" s="455" t="str">
        <f>UPPER(IF(Intro!$G$21="English",X127,Y127))</f>
        <v/>
      </c>
      <c r="M127" s="9"/>
      <c r="N127" s="15"/>
      <c r="O127" s="14" t="s">
        <v>132</v>
      </c>
      <c r="P127" s="14" t="s">
        <v>133</v>
      </c>
    </row>
    <row r="128" spans="1:16" x14ac:dyDescent="0.25">
      <c r="B128" s="24"/>
      <c r="C128" s="25"/>
      <c r="D128" s="26"/>
      <c r="E128" s="26"/>
      <c r="F128" s="26"/>
      <c r="G128" s="26"/>
      <c r="H128" s="26"/>
      <c r="I128" s="26"/>
      <c r="J128" s="26"/>
      <c r="K128" s="26"/>
      <c r="L128" s="27"/>
      <c r="M128" s="2"/>
    </row>
    <row r="129" spans="1:16" x14ac:dyDescent="0.25">
      <c r="B129" s="456" t="str">
        <f>IF(Intro!$G$21="English",O129,P129)</f>
        <v>Veuillez retourner le questionnaire rempli en utilisant l’une des options suivantes :</v>
      </c>
      <c r="C129" s="457"/>
      <c r="D129" s="457"/>
      <c r="E129" s="457"/>
      <c r="F129" s="457"/>
      <c r="G129" s="457"/>
      <c r="H129" s="457"/>
      <c r="I129" s="457"/>
      <c r="J129" s="457"/>
      <c r="K129" s="457"/>
      <c r="L129" s="458"/>
      <c r="M129" s="2"/>
      <c r="O129" s="2" t="s">
        <v>322</v>
      </c>
      <c r="P129" s="2" t="s">
        <v>2</v>
      </c>
    </row>
    <row r="130" spans="1:16" x14ac:dyDescent="0.25">
      <c r="B130" s="459"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30" s="460"/>
      <c r="D130" s="460"/>
      <c r="E130" s="460"/>
      <c r="F130" s="460"/>
      <c r="G130" s="460"/>
      <c r="H130" s="460"/>
      <c r="I130" s="460"/>
      <c r="J130" s="460"/>
      <c r="K130" s="460"/>
      <c r="L130" s="461"/>
      <c r="M130" s="2"/>
    </row>
    <row r="131" spans="1:16" x14ac:dyDescent="0.25">
      <c r="B131" s="539" t="str">
        <f>IF(Intro!$G$21="English",O131,P131)</f>
        <v>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v>
      </c>
      <c r="C131" s="540"/>
      <c r="D131" s="540"/>
      <c r="E131" s="540"/>
      <c r="F131" s="540"/>
      <c r="G131" s="540"/>
      <c r="H131" s="540"/>
      <c r="I131" s="540"/>
      <c r="J131" s="540"/>
      <c r="K131" s="540"/>
      <c r="L131" s="541"/>
      <c r="M131" s="2"/>
      <c r="O131" s="2" t="s">
        <v>361</v>
      </c>
      <c r="P131" s="2" t="s">
        <v>401</v>
      </c>
    </row>
    <row r="132" spans="1:16" x14ac:dyDescent="0.25">
      <c r="B132" s="539"/>
      <c r="C132" s="540"/>
      <c r="D132" s="540"/>
      <c r="E132" s="540"/>
      <c r="F132" s="540"/>
      <c r="G132" s="540"/>
      <c r="H132" s="540"/>
      <c r="I132" s="540"/>
      <c r="J132" s="540"/>
      <c r="K132" s="540"/>
      <c r="L132" s="541"/>
      <c r="M132" s="2"/>
    </row>
    <row r="133" spans="1:16" x14ac:dyDescent="0.25">
      <c r="B133" s="475" t="str">
        <f>IF(Intro!$G$21="English",O133,P133)</f>
        <v>2. Par courriel à l’adresse tcce-citt@tribunal.gc.ca si vous acceptez les risques connexes et vous transmettez des renseignements qui sont ceux de votre entreprise seulement.</v>
      </c>
      <c r="C133" s="476"/>
      <c r="D133" s="476"/>
      <c r="E133" s="476"/>
      <c r="F133" s="476"/>
      <c r="G133" s="476"/>
      <c r="H133" s="476"/>
      <c r="I133" s="476"/>
      <c r="J133" s="476"/>
      <c r="K133" s="476"/>
      <c r="L133" s="477"/>
      <c r="M133" s="2"/>
      <c r="O133" s="2" t="s">
        <v>559</v>
      </c>
      <c r="P133" s="2" t="s">
        <v>675</v>
      </c>
    </row>
    <row r="134" spans="1:16" x14ac:dyDescent="0.25">
      <c r="B134" s="176"/>
      <c r="C134" s="177"/>
      <c r="D134" s="177"/>
      <c r="E134" s="177"/>
      <c r="F134" s="177"/>
      <c r="G134" s="177"/>
      <c r="H134" s="177"/>
      <c r="I134" s="177"/>
      <c r="J134" s="177"/>
      <c r="K134" s="177"/>
      <c r="L134" s="178"/>
      <c r="M134" s="2"/>
    </row>
    <row r="136" spans="1:16" s="8" customFormat="1" x14ac:dyDescent="0.25">
      <c r="A136" s="13"/>
      <c r="B136" s="453" t="s">
        <v>637</v>
      </c>
      <c r="C136" s="454" t="str">
        <f>UPPER(IF(Intro!$G$21="English",P136,Q136))</f>
        <v/>
      </c>
      <c r="D136" s="454" t="str">
        <f>UPPER(IF(Intro!$G$21="English",Q136,R136))</f>
        <v/>
      </c>
      <c r="E136" s="454" t="str">
        <f>UPPER(IF(Intro!$G$21="English",R136,S136))</f>
        <v/>
      </c>
      <c r="F136" s="454"/>
      <c r="G136" s="454" t="str">
        <f>UPPER(IF(Intro!$G$21="English",S136,T136))</f>
        <v/>
      </c>
      <c r="H136" s="454" t="str">
        <f>UPPER(IF(Intro!$G$21="English",T136,U136))</f>
        <v/>
      </c>
      <c r="I136" s="454" t="str">
        <f>UPPER(IF(Intro!$G$21="English",U136,V136))</f>
        <v/>
      </c>
      <c r="J136" s="454" t="str">
        <f>UPPER(IF(Intro!$G$21="English",V136,W136))</f>
        <v/>
      </c>
      <c r="K136" s="454" t="str">
        <f>UPPER(IF(Intro!$G$21="English",W136,X136))</f>
        <v/>
      </c>
      <c r="L136" s="455" t="str">
        <f>UPPER(IF(Intro!$G$21="English",X136,Y136))</f>
        <v/>
      </c>
      <c r="M136" s="9"/>
      <c r="N136" s="15"/>
      <c r="O136" s="14"/>
      <c r="P136" s="14"/>
    </row>
    <row r="137" spans="1:16" x14ac:dyDescent="0.25">
      <c r="B137" s="24"/>
      <c r="C137" s="25"/>
      <c r="D137" s="26"/>
      <c r="E137" s="26"/>
      <c r="F137" s="26"/>
      <c r="G137" s="26"/>
      <c r="H137" s="26"/>
      <c r="I137" s="26"/>
      <c r="J137" s="26"/>
      <c r="K137" s="26"/>
      <c r="L137" s="27"/>
      <c r="M137" s="2"/>
    </row>
    <row r="138" spans="1:16" x14ac:dyDescent="0.25">
      <c r="B138" s="456" t="str">
        <f>IF(Intro!$G$21="English",O138,P138)</f>
        <v xml:space="preserve">Toutes les questions relatives au présent questionnaire doivent être adressées à :
</v>
      </c>
      <c r="C138" s="457"/>
      <c r="D138" s="457"/>
      <c r="E138" s="457"/>
      <c r="F138" s="457"/>
      <c r="G138" s="457"/>
      <c r="H138" s="457"/>
      <c r="I138" s="457"/>
      <c r="J138" s="457"/>
      <c r="K138" s="457"/>
      <c r="L138" s="458"/>
      <c r="M138" s="2"/>
      <c r="O138" s="2" t="s">
        <v>392</v>
      </c>
      <c r="P138" s="2" t="s">
        <v>393</v>
      </c>
    </row>
    <row r="139" spans="1:16" x14ac:dyDescent="0.25">
      <c r="B139" s="159"/>
      <c r="C139" s="160"/>
      <c r="D139" s="160"/>
      <c r="E139" s="160"/>
      <c r="F139" s="160"/>
      <c r="G139" s="160"/>
      <c r="H139" s="160"/>
      <c r="I139" s="160"/>
      <c r="J139" s="160"/>
      <c r="K139" s="160"/>
      <c r="L139" s="161"/>
      <c r="M139" s="2"/>
    </row>
    <row r="140" spans="1:16" x14ac:dyDescent="0.25">
      <c r="B140" s="452" t="str">
        <f>Variables!B13</f>
        <v>Rebecca Campbell</v>
      </c>
      <c r="C140" s="448"/>
      <c r="D140" s="448"/>
      <c r="E140" s="448" t="str">
        <f>Variables!C13</f>
        <v>rebecca.campbell@tribunal.gc.ca</v>
      </c>
      <c r="F140" s="448"/>
      <c r="G140" s="448"/>
      <c r="H140" s="448"/>
      <c r="I140" s="448"/>
      <c r="J140" s="448" t="str">
        <f>Variables!D13</f>
        <v>613-998-8598</v>
      </c>
      <c r="K140" s="448"/>
      <c r="L140" s="449"/>
      <c r="M140" s="2"/>
      <c r="O140" s="11"/>
    </row>
    <row r="141" spans="1:16" x14ac:dyDescent="0.25">
      <c r="B141" s="452" t="str">
        <f>Variables!B14</f>
        <v>Wen Zhang</v>
      </c>
      <c r="C141" s="448"/>
      <c r="D141" s="448"/>
      <c r="E141" s="448" t="str">
        <f>Variables!C14</f>
        <v>wen.zhang@tribunal.gc.ca</v>
      </c>
      <c r="F141" s="448"/>
      <c r="G141" s="448"/>
      <c r="H141" s="448"/>
      <c r="I141" s="448"/>
      <c r="J141" s="448" t="str">
        <f>Variables!D14</f>
        <v>343-549-1983</v>
      </c>
      <c r="K141" s="448"/>
      <c r="L141" s="449"/>
      <c r="M141" s="2"/>
      <c r="O141" s="11"/>
    </row>
    <row r="142" spans="1:16" x14ac:dyDescent="0.25">
      <c r="B142" s="452" t="str">
        <f>Variables!B15</f>
        <v>Rhonda Heintzman</v>
      </c>
      <c r="C142" s="448"/>
      <c r="D142" s="448"/>
      <c r="E142" s="448" t="str">
        <f>Variables!C15</f>
        <v>rhonda.heintzman@tribunal.gc.ca</v>
      </c>
      <c r="F142" s="448"/>
      <c r="G142" s="448"/>
      <c r="H142" s="448"/>
      <c r="I142" s="448"/>
      <c r="J142" s="448" t="str">
        <f>Variables!D15</f>
        <v>613-558-5983</v>
      </c>
      <c r="K142" s="448"/>
      <c r="L142" s="449"/>
      <c r="M142" s="2"/>
    </row>
  </sheetData>
  <sheetProtection algorithmName="SHA-512" hashValue="iXF9roJOr5m6ef4cbGSdbpfFp8F7T47jI/Tw5DRf1zQPg+5ZQiXffpqf+rqAYQ7UGlc+7i14MjXY1kI1C9UENg==" saltValue="7lEXIMxIsdyAAILnnbn0SA==" spinCount="100000" sheet="1" objects="1" scenarios="1" selectLockedCells="1"/>
  <mergeCells count="80">
    <mergeCell ref="B142:D142"/>
    <mergeCell ref="E142:I142"/>
    <mergeCell ref="J142:L142"/>
    <mergeCell ref="B104:D105"/>
    <mergeCell ref="E104:L105"/>
    <mergeCell ref="B106:D107"/>
    <mergeCell ref="E106:L107"/>
    <mergeCell ref="E121:L122"/>
    <mergeCell ref="E119:L120"/>
    <mergeCell ref="B109:L109"/>
    <mergeCell ref="E115:L116"/>
    <mergeCell ref="B115:D116"/>
    <mergeCell ref="B119:D120"/>
    <mergeCell ref="B121:D122"/>
    <mergeCell ref="B133:L133"/>
    <mergeCell ref="B131:L132"/>
    <mergeCell ref="O9:P17"/>
    <mergeCell ref="B117:D118"/>
    <mergeCell ref="E117:L118"/>
    <mergeCell ref="B21:F22"/>
    <mergeCell ref="H21:L22"/>
    <mergeCell ref="G21:G22"/>
    <mergeCell ref="C29:K33"/>
    <mergeCell ref="B43:C44"/>
    <mergeCell ref="D43:E44"/>
    <mergeCell ref="F43:L44"/>
    <mergeCell ref="B28:L28"/>
    <mergeCell ref="B34:L34"/>
    <mergeCell ref="B40:L40"/>
    <mergeCell ref="D42:E42"/>
    <mergeCell ref="F42:L42"/>
    <mergeCell ref="B38:L38"/>
    <mergeCell ref="B113:D114"/>
    <mergeCell ref="E113:L114"/>
    <mergeCell ref="B78:D79"/>
    <mergeCell ref="E78:L79"/>
    <mergeCell ref="B80:D81"/>
    <mergeCell ref="B82:D83"/>
    <mergeCell ref="E82:L83"/>
    <mergeCell ref="E80:L81"/>
    <mergeCell ref="B98:L98"/>
    <mergeCell ref="B100:D101"/>
    <mergeCell ref="E100:L101"/>
    <mergeCell ref="B102:D103"/>
    <mergeCell ref="E102:L103"/>
    <mergeCell ref="B45:C48"/>
    <mergeCell ref="B50:L50"/>
    <mergeCell ref="B86:D95"/>
    <mergeCell ref="E86:L95"/>
    <mergeCell ref="B111:L111"/>
    <mergeCell ref="D66:J67"/>
    <mergeCell ref="B72:L73"/>
    <mergeCell ref="B70:L70"/>
    <mergeCell ref="B64:L64"/>
    <mergeCell ref="B52:L61"/>
    <mergeCell ref="B76:L76"/>
    <mergeCell ref="D45:E48"/>
    <mergeCell ref="F45:L48"/>
    <mergeCell ref="B4:L4"/>
    <mergeCell ref="B5:L5"/>
    <mergeCell ref="B35:L35"/>
    <mergeCell ref="B8:L8"/>
    <mergeCell ref="B25:L25"/>
    <mergeCell ref="B27:L27"/>
    <mergeCell ref="B19:L19"/>
    <mergeCell ref="B10:F16"/>
    <mergeCell ref="H10:L16"/>
    <mergeCell ref="B6:L6"/>
    <mergeCell ref="J140:L140"/>
    <mergeCell ref="J141:L141"/>
    <mergeCell ref="B124:I124"/>
    <mergeCell ref="B140:D140"/>
    <mergeCell ref="B141:D141"/>
    <mergeCell ref="E140:I140"/>
    <mergeCell ref="E141:I141"/>
    <mergeCell ref="B127:L127"/>
    <mergeCell ref="B129:L129"/>
    <mergeCell ref="B138:L138"/>
    <mergeCell ref="B130:L130"/>
    <mergeCell ref="B136:L136"/>
  </mergeCells>
  <dataValidations count="3">
    <dataValidation type="list" allowBlank="1" showInputMessage="1" showErrorMessage="1" sqref="J124" xr:uid="{EB39B09B-D0F1-436F-B804-013D0C460A66}">
      <formula1>"X"</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2" xr:uid="{F430DF32-834C-4959-BEAA-B4F42952D68C}">
      <formula1>1000</formula1>
    </dataValidation>
    <dataValidation type="list" allowBlank="1" showInputMessage="1" showErrorMessage="1" sqref="G21"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3" min="1" max="11" man="1"/>
    <brk id="126" min="1" max="11" man="1"/>
  </rowBreaks>
  <ignoredErrors>
    <ignoredError sqref="B130"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ABF1EE-6BF0-4F54-BD3F-623D108CC299}">
          <x14:formula1>
            <xm:f>Variables!$D$54:$D$55</xm:f>
          </x14:formula1>
          <xm:sqref>D43:E48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4"/>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42578125" style="2" customWidth="1"/>
    <col min="19" max="19" width="9.140625" style="2" customWidth="1"/>
    <col min="20" max="16384" width="9.140625" style="2"/>
  </cols>
  <sheetData>
    <row r="1" spans="1:16" x14ac:dyDescent="0.25">
      <c r="O1" s="2" t="s">
        <v>744</v>
      </c>
      <c r="P1" s="2" t="s">
        <v>744</v>
      </c>
    </row>
    <row r="2" spans="1:16" x14ac:dyDescent="0.25">
      <c r="B2" s="20" t="s">
        <v>0</v>
      </c>
      <c r="C2" s="20"/>
      <c r="D2" s="20"/>
      <c r="O2" s="3" t="s">
        <v>166</v>
      </c>
      <c r="P2" s="3" t="s">
        <v>167</v>
      </c>
    </row>
    <row r="3" spans="1:16" x14ac:dyDescent="0.25">
      <c r="B3" s="21"/>
      <c r="C3" s="21"/>
      <c r="D3" s="21"/>
      <c r="O3" s="8" t="s">
        <v>0</v>
      </c>
      <c r="P3" s="8" t="s">
        <v>0</v>
      </c>
    </row>
    <row r="4" spans="1:16" s="8" customFormat="1" x14ac:dyDescent="0.25">
      <c r="A4" s="13"/>
      <c r="B4" s="462" t="str">
        <f>IF(Intro!$G$21="English",O4,P4)</f>
        <v>QUESTIONNAIRE À L’INTENTION DES PRODUCTEURS</v>
      </c>
      <c r="C4" s="463"/>
      <c r="D4" s="463"/>
      <c r="E4" s="463"/>
      <c r="F4" s="463"/>
      <c r="G4" s="463"/>
      <c r="H4" s="463"/>
      <c r="I4" s="463"/>
      <c r="J4" s="463"/>
      <c r="K4" s="463"/>
      <c r="L4" s="464"/>
      <c r="M4" s="15"/>
      <c r="N4" s="15"/>
      <c r="O4" s="14" t="s">
        <v>638</v>
      </c>
      <c r="P4" s="197" t="s">
        <v>639</v>
      </c>
    </row>
    <row r="5" spans="1:16" s="8" customFormat="1" x14ac:dyDescent="0.25">
      <c r="A5" s="13"/>
      <c r="B5" s="465" t="str">
        <f>Intro!B5</f>
        <v>NQ-2026-005</v>
      </c>
      <c r="C5" s="466"/>
      <c r="D5" s="466"/>
      <c r="E5" s="466"/>
      <c r="F5" s="466"/>
      <c r="G5" s="466"/>
      <c r="H5" s="466"/>
      <c r="I5" s="466"/>
      <c r="J5" s="466"/>
      <c r="K5" s="466"/>
      <c r="L5" s="467"/>
      <c r="M5" s="15"/>
      <c r="N5" s="15"/>
      <c r="O5" s="14"/>
      <c r="P5" s="14"/>
    </row>
    <row r="6" spans="1:16" s="9" customFormat="1" x14ac:dyDescent="0.25">
      <c r="A6" s="13"/>
      <c r="B6" s="470" t="str">
        <f>UPPER(IF(Intro!$G$21="English",Variables!B3,Variables!C3))</f>
        <v>CERTAINS RAYONNAGES EN ACIER</v>
      </c>
      <c r="C6" s="471"/>
      <c r="D6" s="471"/>
      <c r="E6" s="471"/>
      <c r="F6" s="471"/>
      <c r="G6" s="471"/>
      <c r="H6" s="471"/>
      <c r="I6" s="471"/>
      <c r="J6" s="471"/>
      <c r="K6" s="471"/>
      <c r="L6" s="472"/>
      <c r="M6" s="14"/>
      <c r="N6" s="14"/>
      <c r="O6" s="10"/>
      <c r="P6" s="10"/>
    </row>
    <row r="7" spans="1:16" s="9" customFormat="1" x14ac:dyDescent="0.25">
      <c r="A7" s="13"/>
      <c r="B7" s="22"/>
      <c r="C7" s="22"/>
      <c r="D7" s="22"/>
      <c r="E7" s="23"/>
      <c r="F7" s="23"/>
      <c r="G7" s="23"/>
      <c r="H7" s="23"/>
      <c r="I7" s="23"/>
      <c r="J7" s="23"/>
      <c r="K7" s="23"/>
      <c r="L7" s="23"/>
      <c r="O7" s="10"/>
      <c r="P7" s="10"/>
    </row>
    <row r="8" spans="1:16" s="8" customFormat="1" x14ac:dyDescent="0.25">
      <c r="A8" s="13"/>
      <c r="B8" s="453" t="str">
        <f>IF(Intro!$G$21="English",O8,P8)</f>
        <v>APERÇU DU QUESTIONNAIRE</v>
      </c>
      <c r="C8" s="454"/>
      <c r="D8" s="454" t="str">
        <f>UPPER(IF(Intro!$G$21="English",P8,Q8))</f>
        <v/>
      </c>
      <c r="E8" s="454" t="str">
        <f>UPPER(IF(Intro!$G$21="English",Q8,R8))</f>
        <v/>
      </c>
      <c r="F8" s="454" t="str">
        <f>UPPER(IF(Intro!$G$21="English",R8,S8))</f>
        <v/>
      </c>
      <c r="G8" s="454" t="str">
        <f>UPPER(IF(Intro!$G$21="English",S8,T8))</f>
        <v/>
      </c>
      <c r="H8" s="454" t="str">
        <f>UPPER(IF(Intro!$G$21="English",T8,U8))</f>
        <v/>
      </c>
      <c r="I8" s="454" t="str">
        <f>UPPER(IF(Intro!$G$21="English",U8,V8))</f>
        <v/>
      </c>
      <c r="J8" s="454" t="str">
        <f>UPPER(IF(Intro!$G$21="English",V8,W8))</f>
        <v/>
      </c>
      <c r="K8" s="454" t="str">
        <f>UPPER(IF(Intro!$G$21="English",W8,X8))</f>
        <v/>
      </c>
      <c r="L8" s="455" t="str">
        <f>UPPER(IF(Intro!$G$21="English",X8,Y8))</f>
        <v/>
      </c>
      <c r="M8" s="9"/>
      <c r="N8" s="15"/>
      <c r="O8" s="197" t="s">
        <v>640</v>
      </c>
      <c r="P8" s="197" t="s">
        <v>641</v>
      </c>
    </row>
    <row r="9" spans="1:16" x14ac:dyDescent="0.25">
      <c r="B9" s="24"/>
      <c r="C9" s="25"/>
      <c r="D9" s="25"/>
      <c r="E9" s="26"/>
      <c r="F9" s="26"/>
      <c r="G9" s="26"/>
      <c r="H9" s="26"/>
      <c r="I9" s="26"/>
      <c r="J9" s="26"/>
      <c r="K9" s="26"/>
      <c r="L9" s="27"/>
      <c r="M9" s="2"/>
    </row>
    <row r="10" spans="1:16" x14ac:dyDescent="0.25">
      <c r="B10" s="456" t="str">
        <f>IF(Intro!$G$21="English",O10,P10)</f>
        <v xml:space="preserve">Le présent questionnaire est divisé en deux parties :
</v>
      </c>
      <c r="C10" s="457"/>
      <c r="D10" s="457"/>
      <c r="E10" s="457"/>
      <c r="F10" s="457"/>
      <c r="G10" s="457"/>
      <c r="H10" s="457"/>
      <c r="I10" s="457"/>
      <c r="J10" s="457"/>
      <c r="K10" s="457"/>
      <c r="L10" s="458"/>
      <c r="M10" s="2"/>
      <c r="O10" s="2" t="s">
        <v>320</v>
      </c>
      <c r="P10" s="2" t="s">
        <v>321</v>
      </c>
    </row>
    <row r="11" spans="1:16" x14ac:dyDescent="0.25">
      <c r="B11" s="159"/>
      <c r="C11" s="160"/>
      <c r="D11" s="160"/>
      <c r="E11" s="160"/>
      <c r="F11" s="160"/>
      <c r="G11" s="160"/>
      <c r="H11" s="160"/>
      <c r="I11" s="160"/>
      <c r="J11" s="160"/>
      <c r="K11" s="160"/>
      <c r="L11" s="161"/>
      <c r="M11" s="2"/>
    </row>
    <row r="12" spans="1:16" x14ac:dyDescent="0.25">
      <c r="B12" s="456"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457"/>
      <c r="D12" s="457"/>
      <c r="E12" s="457"/>
      <c r="F12" s="457"/>
      <c r="G12" s="457"/>
      <c r="H12" s="457"/>
      <c r="I12" s="457"/>
      <c r="J12" s="457"/>
      <c r="K12" s="457"/>
      <c r="L12" s="458"/>
      <c r="M12" s="2"/>
      <c r="O12" s="2" t="s">
        <v>323</v>
      </c>
      <c r="P12" s="2" t="s">
        <v>324</v>
      </c>
    </row>
    <row r="13" spans="1:16" x14ac:dyDescent="0.25">
      <c r="B13" s="456"/>
      <c r="C13" s="457"/>
      <c r="D13" s="457"/>
      <c r="E13" s="457"/>
      <c r="F13" s="457"/>
      <c r="G13" s="457"/>
      <c r="H13" s="457"/>
      <c r="I13" s="457"/>
      <c r="J13" s="457"/>
      <c r="K13" s="457"/>
      <c r="L13" s="458"/>
      <c r="M13" s="2"/>
    </row>
    <row r="14" spans="1:16" x14ac:dyDescent="0.25">
      <c r="B14" s="159"/>
      <c r="C14" s="160"/>
      <c r="D14" s="160"/>
      <c r="E14" s="160"/>
      <c r="F14" s="160"/>
      <c r="G14" s="160"/>
      <c r="H14" s="160"/>
      <c r="I14" s="160"/>
      <c r="J14" s="160"/>
      <c r="K14" s="160"/>
      <c r="L14" s="161"/>
      <c r="M14" s="2"/>
    </row>
    <row r="15" spans="1:16" x14ac:dyDescent="0.25">
      <c r="B15" s="456"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457"/>
      <c r="D15" s="457"/>
      <c r="E15" s="457"/>
      <c r="F15" s="457"/>
      <c r="G15" s="457"/>
      <c r="H15" s="457"/>
      <c r="I15" s="457"/>
      <c r="J15" s="457"/>
      <c r="K15" s="457"/>
      <c r="L15" s="458"/>
      <c r="M15" s="2"/>
      <c r="O15" s="2" t="s">
        <v>325</v>
      </c>
      <c r="P15" s="2" t="s">
        <v>326</v>
      </c>
    </row>
    <row r="16" spans="1:16" x14ac:dyDescent="0.25">
      <c r="B16" s="456"/>
      <c r="C16" s="457"/>
      <c r="D16" s="457"/>
      <c r="E16" s="457"/>
      <c r="F16" s="457"/>
      <c r="G16" s="457"/>
      <c r="H16" s="457"/>
      <c r="I16" s="457"/>
      <c r="J16" s="457"/>
      <c r="K16" s="457"/>
      <c r="L16" s="458"/>
      <c r="M16" s="2"/>
    </row>
    <row r="17" spans="1:16" x14ac:dyDescent="0.25">
      <c r="B17" s="176"/>
      <c r="C17" s="177"/>
      <c r="D17" s="177"/>
      <c r="E17" s="177"/>
      <c r="F17" s="177"/>
      <c r="G17" s="177"/>
      <c r="H17" s="177"/>
      <c r="I17" s="177"/>
      <c r="J17" s="177"/>
      <c r="K17" s="177"/>
      <c r="L17" s="178"/>
      <c r="M17" s="2"/>
    </row>
    <row r="18" spans="1:16" s="9" customFormat="1" x14ac:dyDescent="0.25">
      <c r="A18" s="13"/>
      <c r="B18" s="22"/>
      <c r="C18" s="22"/>
      <c r="D18" s="22"/>
      <c r="E18" s="23"/>
      <c r="F18" s="23"/>
      <c r="G18" s="23"/>
      <c r="H18" s="23"/>
      <c r="I18" s="23"/>
      <c r="J18" s="23"/>
      <c r="K18" s="23"/>
      <c r="L18" s="23"/>
      <c r="O18" s="10"/>
      <c r="P18" s="10"/>
    </row>
    <row r="19" spans="1:16" s="8" customFormat="1" x14ac:dyDescent="0.25">
      <c r="A19" s="13"/>
      <c r="B19" s="453" t="str">
        <f>UPPER(IF(Intro!$G$21="English",O19,P19))</f>
        <v>RENSEIGNEMENTS ADDITIONNELS SUR LE PRODUIT</v>
      </c>
      <c r="C19" s="454"/>
      <c r="D19" s="454" t="str">
        <f>UPPER(IF(Intro!$G$21="English",P19,Q19))</f>
        <v/>
      </c>
      <c r="E19" s="454" t="str">
        <f>UPPER(IF(Intro!$G$21="English",Q19,R19))</f>
        <v/>
      </c>
      <c r="F19" s="454" t="str">
        <f>UPPER(IF(Intro!$G$21="English",R19,S19))</f>
        <v/>
      </c>
      <c r="G19" s="454" t="str">
        <f>UPPER(IF(Intro!$G$21="English",S19,T19))</f>
        <v/>
      </c>
      <c r="H19" s="454" t="str">
        <f>UPPER(IF(Intro!$G$21="English",T19,U19))</f>
        <v/>
      </c>
      <c r="I19" s="454" t="str">
        <f>UPPER(IF(Intro!$G$21="English",U19,V19))</f>
        <v/>
      </c>
      <c r="J19" s="454" t="str">
        <f>UPPER(IF(Intro!$G$21="English",V19,W19))</f>
        <v/>
      </c>
      <c r="K19" s="454" t="str">
        <f>UPPER(IF(Intro!$G$21="English",W19,X19))</f>
        <v/>
      </c>
      <c r="L19" s="455" t="str">
        <f>UPPER(IF(Intro!$G$21="English",X19,Y19))</f>
        <v/>
      </c>
      <c r="M19" s="9"/>
      <c r="N19" s="15"/>
      <c r="O19" s="198" t="s">
        <v>642</v>
      </c>
      <c r="P19" s="198" t="s">
        <v>643</v>
      </c>
    </row>
    <row r="20" spans="1:16" x14ac:dyDescent="0.25">
      <c r="B20" s="24"/>
      <c r="C20" s="25"/>
      <c r="D20" s="25"/>
      <c r="E20" s="26"/>
      <c r="F20" s="26"/>
      <c r="G20" s="26"/>
      <c r="H20" s="26"/>
      <c r="I20" s="26"/>
      <c r="J20" s="26"/>
      <c r="K20" s="26"/>
      <c r="L20" s="27"/>
      <c r="M20" s="2"/>
    </row>
    <row r="21" spans="1:16" x14ac:dyDescent="0.25">
      <c r="A21" s="173"/>
      <c r="B21" s="565" t="str">
        <f>IF(Intro!$G$21="English",HYPERLINK(Variables!B17),HYPERLINK(Variables!C17))</f>
        <v>https://www.cbsa-asfc.gc.ca/sima-lmsi/i-e/rack2026/rack2026-in-fra.html#3-2</v>
      </c>
      <c r="C21" s="566"/>
      <c r="D21" s="566"/>
      <c r="E21" s="566"/>
      <c r="F21" s="566"/>
      <c r="G21" s="566"/>
      <c r="H21" s="566"/>
      <c r="I21" s="566"/>
      <c r="J21" s="566"/>
      <c r="K21" s="566"/>
      <c r="L21" s="567"/>
      <c r="M21" s="2"/>
    </row>
    <row r="22" spans="1:16" x14ac:dyDescent="0.25">
      <c r="B22" s="176"/>
      <c r="C22" s="177"/>
      <c r="D22" s="177"/>
      <c r="E22" s="177"/>
      <c r="F22" s="177"/>
      <c r="G22" s="177"/>
      <c r="H22" s="177"/>
      <c r="I22" s="177"/>
      <c r="J22" s="177"/>
      <c r="K22" s="177"/>
      <c r="L22" s="178"/>
      <c r="M22" s="2"/>
    </row>
    <row r="23" spans="1:16" s="9" customFormat="1" x14ac:dyDescent="0.25">
      <c r="A23" s="13"/>
      <c r="B23" s="22"/>
      <c r="C23" s="22"/>
      <c r="D23" s="22"/>
      <c r="E23" s="23"/>
      <c r="F23" s="23"/>
      <c r="G23" s="23"/>
      <c r="H23" s="23"/>
      <c r="I23" s="23"/>
      <c r="J23" s="23"/>
      <c r="K23" s="23"/>
      <c r="L23" s="23"/>
      <c r="O23" s="10"/>
      <c r="P23" s="10"/>
    </row>
    <row r="24" spans="1:16" s="8" customFormat="1" x14ac:dyDescent="0.25">
      <c r="A24" s="13"/>
      <c r="B24" s="453" t="str">
        <f>IF(Intro!$G$21="English",O24,P24)</f>
        <v>TARIF DES DOUANES</v>
      </c>
      <c r="C24" s="454"/>
      <c r="D24" s="454" t="str">
        <f>UPPER(IF(Intro!$G$21="English",P24,Q24))</f>
        <v/>
      </c>
      <c r="E24" s="454" t="str">
        <f>UPPER(IF(Intro!$G$21="English",Q24,R24))</f>
        <v/>
      </c>
      <c r="F24" s="454" t="str">
        <f>UPPER(IF(Intro!$G$21="English",R24,S24))</f>
        <v/>
      </c>
      <c r="G24" s="454" t="str">
        <f>UPPER(IF(Intro!$G$21="English",S24,T24))</f>
        <v/>
      </c>
      <c r="H24" s="454" t="str">
        <f>UPPER(IF(Intro!$G$21="English",T24,U24))</f>
        <v/>
      </c>
      <c r="I24" s="454" t="str">
        <f>UPPER(IF(Intro!$G$21="English",U24,V24))</f>
        <v/>
      </c>
      <c r="J24" s="454" t="str">
        <f>UPPER(IF(Intro!$G$21="English",V24,W24))</f>
        <v/>
      </c>
      <c r="K24" s="454" t="str">
        <f>UPPER(IF(Intro!$G$21="English",W24,X24))</f>
        <v/>
      </c>
      <c r="L24" s="455" t="str">
        <f>UPPER(IF(Intro!$G$21="English",X24,Y24))</f>
        <v/>
      </c>
      <c r="M24" s="9"/>
      <c r="N24" s="15"/>
      <c r="O24" s="14" t="s">
        <v>130</v>
      </c>
      <c r="P24" s="14" t="s">
        <v>131</v>
      </c>
    </row>
    <row r="25" spans="1:16" x14ac:dyDescent="0.25">
      <c r="B25" s="24"/>
      <c r="C25" s="25"/>
      <c r="D25" s="25"/>
      <c r="E25" s="26"/>
      <c r="F25" s="26"/>
      <c r="G25" s="26"/>
      <c r="H25" s="26"/>
      <c r="I25" s="26"/>
      <c r="J25" s="26"/>
      <c r="K25" s="26"/>
      <c r="L25" s="27"/>
      <c r="M25" s="2"/>
    </row>
    <row r="26" spans="1:16" x14ac:dyDescent="0.25">
      <c r="B26" s="475" t="str">
        <f>IF(Intro!$G$21="English",O26,P26)</f>
        <v>Les marchandises sont généralement classées dans le Tarif des douanes sous les numéros suivants du Système harmonisé de désignation et de codification des marchandises (SH) :</v>
      </c>
      <c r="C26" s="476"/>
      <c r="D26" s="476"/>
      <c r="E26" s="476"/>
      <c r="F26" s="476"/>
      <c r="G26" s="476"/>
      <c r="H26" s="476"/>
      <c r="I26" s="476"/>
      <c r="J26" s="476"/>
      <c r="K26" s="476"/>
      <c r="L26" s="477"/>
      <c r="M26" s="2"/>
      <c r="O26" s="2" t="s">
        <v>824</v>
      </c>
      <c r="P26" s="2" t="s">
        <v>672</v>
      </c>
    </row>
    <row r="27" spans="1:16" x14ac:dyDescent="0.25">
      <c r="A27" s="12" t="s">
        <v>558</v>
      </c>
      <c r="B27" s="164"/>
      <c r="C27" s="151"/>
      <c r="D27" s="151"/>
      <c r="E27" s="151"/>
      <c r="F27" s="151"/>
      <c r="G27" s="151"/>
      <c r="H27" s="151"/>
      <c r="I27" s="151"/>
      <c r="J27" s="151"/>
      <c r="K27" s="151"/>
      <c r="L27" s="162"/>
      <c r="M27" s="2"/>
    </row>
    <row r="28" spans="1:16" x14ac:dyDescent="0.25">
      <c r="B28" s="568" t="str">
        <f>IF(Intro!$G$21="English",O28,P28)</f>
        <v>Avant le 1er janvier 2026:</v>
      </c>
      <c r="C28" s="569"/>
      <c r="D28" s="570" t="str">
        <f>Variables!B20</f>
        <v>7326.90.90.90, 9403.20.00.70, 7308.90.00.60, 7308.90.00.99</v>
      </c>
      <c r="E28" s="571"/>
      <c r="F28" s="571"/>
      <c r="G28" s="571"/>
      <c r="H28" s="571"/>
      <c r="I28" s="571"/>
      <c r="J28" s="572"/>
      <c r="K28" s="151"/>
      <c r="L28" s="162"/>
      <c r="M28" s="2"/>
      <c r="O28" s="2" t="str">
        <f>"Prior to "&amp;Variables!B19&amp;":"</f>
        <v>Prior to January 1, 2026:</v>
      </c>
      <c r="P28" s="2" t="str">
        <f>"Avant le "&amp;Variables!C19&amp;":"</f>
        <v>Avant le 1er janvier 2026:</v>
      </c>
    </row>
    <row r="29" spans="1:16" x14ac:dyDescent="0.25">
      <c r="B29" s="568"/>
      <c r="C29" s="569"/>
      <c r="D29" s="573"/>
      <c r="E29" s="574"/>
      <c r="F29" s="574"/>
      <c r="G29" s="574"/>
      <c r="H29" s="574"/>
      <c r="I29" s="574"/>
      <c r="J29" s="575"/>
      <c r="K29" s="151"/>
      <c r="L29" s="162"/>
      <c r="M29" s="2"/>
    </row>
    <row r="30" spans="1:16" x14ac:dyDescent="0.25">
      <c r="B30" s="568"/>
      <c r="C30" s="569"/>
      <c r="D30" s="576"/>
      <c r="E30" s="577"/>
      <c r="F30" s="577"/>
      <c r="G30" s="577"/>
      <c r="H30" s="577"/>
      <c r="I30" s="577"/>
      <c r="J30" s="578"/>
      <c r="K30" s="151"/>
      <c r="L30" s="162"/>
      <c r="M30" s="2"/>
    </row>
    <row r="31" spans="1:16" x14ac:dyDescent="0.25">
      <c r="B31" s="164"/>
      <c r="C31" s="151"/>
      <c r="D31" s="151"/>
      <c r="E31" s="151"/>
      <c r="F31" s="151"/>
      <c r="G31" s="151"/>
      <c r="H31" s="151"/>
      <c r="I31" s="151"/>
      <c r="J31" s="151"/>
      <c r="K31" s="151"/>
      <c r="L31" s="162"/>
      <c r="M31" s="2"/>
      <c r="O31" s="153"/>
    </row>
    <row r="32" spans="1:16" s="152" customFormat="1" x14ac:dyDescent="0.25">
      <c r="A32" s="173"/>
      <c r="B32" s="568" t="str">
        <f>IF(Intro!$G$21="English",O32,P32)</f>
        <v>À partir du 1er janvier 2026 :</v>
      </c>
      <c r="C32" s="569"/>
      <c r="D32" s="570" t="str">
        <f>Variables!B21</f>
        <v xml:space="preserve">7308.90.00.60, 7308.90.00.61, 7308.90.00.62, 7308.90.00.63, 7308.90.00.64, 7308.90.00.68, 7308.90.00.69, 7308.90.00.70, 7308.90.00.99, 7326.90.90.90, 9403.20.00.70
</v>
      </c>
      <c r="E32" s="571"/>
      <c r="F32" s="571"/>
      <c r="G32" s="571"/>
      <c r="H32" s="571"/>
      <c r="I32" s="571"/>
      <c r="J32" s="572"/>
      <c r="K32" s="151"/>
      <c r="L32" s="162"/>
      <c r="O32" s="2" t="str">
        <f>"Beginning "&amp;Variables!B19&amp;":"</f>
        <v>Beginning January 1, 2026:</v>
      </c>
      <c r="P32" s="2" t="str">
        <f>"À partir du "&amp;Variables!C19&amp;" :"</f>
        <v>À partir du 1er janvier 2026 :</v>
      </c>
    </row>
    <row r="33" spans="1:16" s="152" customFormat="1" x14ac:dyDescent="0.25">
      <c r="A33" s="173"/>
      <c r="B33" s="568"/>
      <c r="C33" s="569"/>
      <c r="D33" s="573"/>
      <c r="E33" s="574"/>
      <c r="F33" s="574"/>
      <c r="G33" s="574"/>
      <c r="H33" s="574"/>
      <c r="I33" s="574"/>
      <c r="J33" s="575"/>
      <c r="K33" s="151"/>
      <c r="L33" s="162"/>
      <c r="O33" s="2"/>
      <c r="P33" s="2"/>
    </row>
    <row r="34" spans="1:16" s="152" customFormat="1" x14ac:dyDescent="0.25">
      <c r="A34" s="173"/>
      <c r="B34" s="568"/>
      <c r="C34" s="569"/>
      <c r="D34" s="576"/>
      <c r="E34" s="577"/>
      <c r="F34" s="577"/>
      <c r="G34" s="577"/>
      <c r="H34" s="577"/>
      <c r="I34" s="577"/>
      <c r="J34" s="578"/>
      <c r="K34" s="151"/>
      <c r="L34" s="162"/>
      <c r="O34" s="2"/>
      <c r="P34" s="2"/>
    </row>
    <row r="35" spans="1:16" x14ac:dyDescent="0.25">
      <c r="B35" s="176"/>
      <c r="C35" s="177"/>
      <c r="D35" s="177"/>
      <c r="E35" s="177"/>
      <c r="F35" s="177"/>
      <c r="G35" s="177"/>
      <c r="H35" s="177"/>
      <c r="I35" s="177"/>
      <c r="J35" s="177"/>
      <c r="K35" s="177"/>
      <c r="L35" s="178"/>
      <c r="M35" s="2"/>
    </row>
    <row r="36" spans="1:16" s="9" customFormat="1" x14ac:dyDescent="0.25">
      <c r="A36" s="13"/>
      <c r="B36" s="22"/>
      <c r="C36" s="22"/>
      <c r="D36" s="22"/>
      <c r="E36" s="23"/>
      <c r="F36" s="23"/>
      <c r="G36" s="23"/>
      <c r="H36" s="23"/>
      <c r="I36" s="23"/>
      <c r="J36" s="23"/>
      <c r="K36" s="23"/>
      <c r="L36" s="23"/>
      <c r="O36" s="10"/>
      <c r="P36" s="10"/>
    </row>
    <row r="37" spans="1:16" s="8" customFormat="1" x14ac:dyDescent="0.25">
      <c r="A37" s="13"/>
      <c r="B37" s="453" t="str">
        <f>(IF(Intro!$G$21="English",O37,P37))</f>
        <v>GLOSSAIRE</v>
      </c>
      <c r="C37" s="454"/>
      <c r="D37" s="454" t="s">
        <v>666</v>
      </c>
      <c r="E37" s="454" t="s">
        <v>671</v>
      </c>
      <c r="F37" s="454" t="s">
        <v>671</v>
      </c>
      <c r="G37" s="454" t="s">
        <v>671</v>
      </c>
      <c r="H37" s="454" t="s">
        <v>671</v>
      </c>
      <c r="I37" s="454" t="s">
        <v>671</v>
      </c>
      <c r="J37" s="454" t="s">
        <v>671</v>
      </c>
      <c r="K37" s="454" t="s">
        <v>671</v>
      </c>
      <c r="L37" s="455" t="s">
        <v>671</v>
      </c>
      <c r="M37" s="9"/>
      <c r="N37" s="15"/>
      <c r="O37" s="14" t="s">
        <v>665</v>
      </c>
      <c r="P37" s="14" t="s">
        <v>666</v>
      </c>
    </row>
    <row r="38" spans="1:16" x14ac:dyDescent="0.25">
      <c r="B38" s="554" t="str">
        <f>IF(Intro!$G$21="English",O38,P38)</f>
        <v>Coût des marchandises fabriquées</v>
      </c>
      <c r="C38" s="555"/>
      <c r="D38" s="558" t="str">
        <f>IF(Intro!$G$21="English",O39,P39)</f>
        <v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v>
      </c>
      <c r="E38" s="476"/>
      <c r="F38" s="476"/>
      <c r="G38" s="476"/>
      <c r="H38" s="476"/>
      <c r="I38" s="476"/>
      <c r="J38" s="476"/>
      <c r="K38" s="476"/>
      <c r="L38" s="477"/>
      <c r="M38" s="2"/>
      <c r="O38" s="2" t="s">
        <v>366</v>
      </c>
      <c r="P38" s="2" t="s">
        <v>253</v>
      </c>
    </row>
    <row r="39" spans="1:16" x14ac:dyDescent="0.25">
      <c r="B39" s="554"/>
      <c r="C39" s="555"/>
      <c r="D39" s="558"/>
      <c r="E39" s="476"/>
      <c r="F39" s="476"/>
      <c r="G39" s="476"/>
      <c r="H39" s="476"/>
      <c r="I39" s="476"/>
      <c r="J39" s="476"/>
      <c r="K39" s="476"/>
      <c r="L39" s="477"/>
      <c r="M39" s="2"/>
      <c r="O39" s="2" t="s">
        <v>750</v>
      </c>
      <c r="P39" s="2" t="s">
        <v>751</v>
      </c>
    </row>
    <row r="40" spans="1:16" x14ac:dyDescent="0.25">
      <c r="B40" s="556"/>
      <c r="C40" s="557"/>
      <c r="D40" s="559"/>
      <c r="E40" s="511"/>
      <c r="F40" s="511"/>
      <c r="G40" s="511"/>
      <c r="H40" s="511"/>
      <c r="I40" s="511"/>
      <c r="J40" s="511"/>
      <c r="K40" s="511"/>
      <c r="L40" s="560"/>
      <c r="M40" s="2"/>
    </row>
    <row r="41" spans="1:16" x14ac:dyDescent="0.25">
      <c r="B41" s="561" t="str">
        <f>IF(Intro!$G$21="English",O41,P41)</f>
        <v>Coût des marchandises vendues</v>
      </c>
      <c r="C41" s="562"/>
      <c r="D41" s="563" t="str">
        <f>IF(Intro!$G$21="English",O42,P42)</f>
        <v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v>
      </c>
      <c r="E41" s="508"/>
      <c r="F41" s="508"/>
      <c r="G41" s="508"/>
      <c r="H41" s="508"/>
      <c r="I41" s="508"/>
      <c r="J41" s="508"/>
      <c r="K41" s="508"/>
      <c r="L41" s="564"/>
      <c r="M41" s="2"/>
      <c r="O41" s="2" t="s">
        <v>367</v>
      </c>
      <c r="P41" s="2" t="s">
        <v>48</v>
      </c>
    </row>
    <row r="42" spans="1:16" x14ac:dyDescent="0.25">
      <c r="B42" s="554"/>
      <c r="C42" s="555"/>
      <c r="D42" s="558"/>
      <c r="E42" s="476"/>
      <c r="F42" s="476"/>
      <c r="G42" s="476"/>
      <c r="H42" s="476"/>
      <c r="I42" s="476"/>
      <c r="J42" s="476"/>
      <c r="K42" s="476"/>
      <c r="L42" s="477"/>
      <c r="M42" s="2"/>
      <c r="O42" s="2" t="s">
        <v>380</v>
      </c>
      <c r="P42" s="2" t="s">
        <v>707</v>
      </c>
    </row>
    <row r="43" spans="1:16" x14ac:dyDescent="0.25">
      <c r="B43" s="554"/>
      <c r="C43" s="555"/>
      <c r="D43" s="558"/>
      <c r="E43" s="476"/>
      <c r="F43" s="476"/>
      <c r="G43" s="476"/>
      <c r="H43" s="476"/>
      <c r="I43" s="476"/>
      <c r="J43" s="476"/>
      <c r="K43" s="476"/>
      <c r="L43" s="477"/>
      <c r="M43" s="2"/>
    </row>
    <row r="44" spans="1:16" x14ac:dyDescent="0.25">
      <c r="B44" s="556"/>
      <c r="C44" s="557"/>
      <c r="D44" s="559"/>
      <c r="E44" s="511"/>
      <c r="F44" s="511"/>
      <c r="G44" s="511"/>
      <c r="H44" s="511"/>
      <c r="I44" s="511"/>
      <c r="J44" s="511"/>
      <c r="K44" s="511"/>
      <c r="L44" s="560"/>
      <c r="M44" s="2"/>
    </row>
    <row r="45" spans="1:16" x14ac:dyDescent="0.25">
      <c r="B45" s="561" t="str">
        <f>IF(Intro!$G$21="English",O45,P45)</f>
        <v>Coûts de livraison</v>
      </c>
      <c r="C45" s="562"/>
      <c r="D45" s="563" t="str">
        <f>IF(Intro!$G$21="English",O46,P46)</f>
        <v>Le fret, manutention et assurance, engagés par votre entreprise à partir du point d’expédition direct au Canada, et qui sont compris dans le prix de vente, ou une estimation des coûts de livraison engagés par vos clients.</v>
      </c>
      <c r="E45" s="508"/>
      <c r="F45" s="508"/>
      <c r="G45" s="508"/>
      <c r="H45" s="508"/>
      <c r="I45" s="508"/>
      <c r="J45" s="508"/>
      <c r="K45" s="508"/>
      <c r="L45" s="564"/>
      <c r="M45" s="2"/>
      <c r="O45" s="2" t="s">
        <v>745</v>
      </c>
      <c r="P45" s="2" t="s">
        <v>746</v>
      </c>
    </row>
    <row r="46" spans="1:16" x14ac:dyDescent="0.25">
      <c r="B46" s="554"/>
      <c r="C46" s="555"/>
      <c r="D46" s="558"/>
      <c r="E46" s="476"/>
      <c r="F46" s="476"/>
      <c r="G46" s="476"/>
      <c r="H46" s="476"/>
      <c r="I46" s="476"/>
      <c r="J46" s="476"/>
      <c r="K46" s="476"/>
      <c r="L46" s="477"/>
      <c r="M46" s="2"/>
      <c r="O46" s="2" t="s">
        <v>747</v>
      </c>
      <c r="P46" s="1" t="s">
        <v>748</v>
      </c>
    </row>
    <row r="47" spans="1:16" x14ac:dyDescent="0.25">
      <c r="B47" s="556"/>
      <c r="C47" s="557"/>
      <c r="D47" s="559"/>
      <c r="E47" s="511"/>
      <c r="F47" s="511"/>
      <c r="G47" s="511"/>
      <c r="H47" s="511"/>
      <c r="I47" s="511"/>
      <c r="J47" s="511"/>
      <c r="K47" s="511"/>
      <c r="L47" s="560"/>
      <c r="M47" s="2"/>
    </row>
    <row r="48" spans="1:16" x14ac:dyDescent="0.25">
      <c r="B48" s="561" t="str">
        <f>IF(Intro!$G$21="English",O48,P48)</f>
        <v>L’emploi direct</v>
      </c>
      <c r="C48" s="562"/>
      <c r="D48" s="563" t="str">
        <f>IF(Intro!$G$21="English",O49,P49)</f>
        <v>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v>
      </c>
      <c r="E48" s="508"/>
      <c r="F48" s="508"/>
      <c r="G48" s="508"/>
      <c r="H48" s="508"/>
      <c r="I48" s="508"/>
      <c r="J48" s="508"/>
      <c r="K48" s="508"/>
      <c r="L48" s="564"/>
      <c r="M48" s="2"/>
      <c r="O48" s="2" t="s">
        <v>368</v>
      </c>
      <c r="P48" s="2" t="s">
        <v>375</v>
      </c>
    </row>
    <row r="49" spans="2:18" x14ac:dyDescent="0.25">
      <c r="B49" s="554"/>
      <c r="C49" s="555"/>
      <c r="D49" s="558"/>
      <c r="E49" s="476"/>
      <c r="F49" s="476"/>
      <c r="G49" s="476"/>
      <c r="H49" s="476"/>
      <c r="I49" s="476"/>
      <c r="J49" s="476"/>
      <c r="K49" s="476"/>
      <c r="L49" s="477"/>
      <c r="M49" s="2"/>
      <c r="O49" s="2" t="s">
        <v>753</v>
      </c>
      <c r="P49" s="2" t="s">
        <v>752</v>
      </c>
    </row>
    <row r="50" spans="2:18" x14ac:dyDescent="0.25">
      <c r="B50" s="554"/>
      <c r="C50" s="555"/>
      <c r="D50" s="558"/>
      <c r="E50" s="476"/>
      <c r="F50" s="476"/>
      <c r="G50" s="476"/>
      <c r="H50" s="476"/>
      <c r="I50" s="476"/>
      <c r="J50" s="476"/>
      <c r="K50" s="476"/>
      <c r="L50" s="477"/>
      <c r="M50" s="2"/>
    </row>
    <row r="51" spans="2:18" x14ac:dyDescent="0.25">
      <c r="B51" s="556"/>
      <c r="C51" s="557"/>
      <c r="D51" s="559"/>
      <c r="E51" s="511"/>
      <c r="F51" s="511"/>
      <c r="G51" s="511"/>
      <c r="H51" s="511"/>
      <c r="I51" s="511"/>
      <c r="J51" s="511"/>
      <c r="K51" s="511"/>
      <c r="L51" s="560"/>
      <c r="M51" s="2"/>
    </row>
    <row r="52" spans="2:18" x14ac:dyDescent="0.25">
      <c r="B52" s="561" t="str">
        <f>IF(Intro!$G$21="English",O52,P52)</f>
        <v>Charges financières</v>
      </c>
      <c r="C52" s="562"/>
      <c r="D52" s="563" t="str">
        <f>IF(Intro!$G$21="English",O53,P53)</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52" s="508"/>
      <c r="F52" s="508"/>
      <c r="G52" s="508"/>
      <c r="H52" s="508"/>
      <c r="I52" s="508"/>
      <c r="J52" s="508"/>
      <c r="K52" s="508"/>
      <c r="L52" s="564"/>
      <c r="M52" s="2"/>
      <c r="O52" s="2" t="s">
        <v>369</v>
      </c>
      <c r="P52" s="2" t="s">
        <v>54</v>
      </c>
    </row>
    <row r="53" spans="2:18" x14ac:dyDescent="0.25">
      <c r="B53" s="554"/>
      <c r="C53" s="555"/>
      <c r="D53" s="558"/>
      <c r="E53" s="476"/>
      <c r="F53" s="476"/>
      <c r="G53" s="476"/>
      <c r="H53" s="476"/>
      <c r="I53" s="476"/>
      <c r="J53" s="476"/>
      <c r="K53" s="476"/>
      <c r="L53" s="477"/>
      <c r="M53" s="2"/>
      <c r="O53" s="2" t="s">
        <v>404</v>
      </c>
      <c r="P53" s="2" t="s">
        <v>381</v>
      </c>
    </row>
    <row r="54" spans="2:18" x14ac:dyDescent="0.25">
      <c r="B54" s="556"/>
      <c r="C54" s="557"/>
      <c r="D54" s="559"/>
      <c r="E54" s="511"/>
      <c r="F54" s="511"/>
      <c r="G54" s="511"/>
      <c r="H54" s="511"/>
      <c r="I54" s="511"/>
      <c r="J54" s="511"/>
      <c r="K54" s="511"/>
      <c r="L54" s="560"/>
      <c r="M54" s="2"/>
    </row>
    <row r="55" spans="2:18" x14ac:dyDescent="0.25">
      <c r="B55" s="561" t="str">
        <f>IF(Intro!$G$21="English",O55,P55)</f>
        <v>Frais généraux, de vente et d'administration</v>
      </c>
      <c r="C55" s="562"/>
      <c r="D55" s="563" t="str">
        <f>IF(Intro!$G$21="English",O56,P56)</f>
        <v>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v>
      </c>
      <c r="E55" s="508"/>
      <c r="F55" s="508"/>
      <c r="G55" s="508"/>
      <c r="H55" s="508"/>
      <c r="I55" s="508"/>
      <c r="J55" s="508"/>
      <c r="K55" s="508"/>
      <c r="L55" s="564"/>
      <c r="M55" s="2"/>
      <c r="O55" s="2" t="s">
        <v>370</v>
      </c>
      <c r="P55" s="2" t="s">
        <v>376</v>
      </c>
    </row>
    <row r="56" spans="2:18" x14ac:dyDescent="0.25">
      <c r="B56" s="554"/>
      <c r="C56" s="555"/>
      <c r="D56" s="558"/>
      <c r="E56" s="476"/>
      <c r="F56" s="476"/>
      <c r="G56" s="476"/>
      <c r="H56" s="476"/>
      <c r="I56" s="476"/>
      <c r="J56" s="476"/>
      <c r="K56" s="476"/>
      <c r="L56" s="477"/>
      <c r="M56" s="2"/>
      <c r="O56" s="2" t="s">
        <v>405</v>
      </c>
      <c r="P56" s="2" t="s">
        <v>382</v>
      </c>
    </row>
    <row r="57" spans="2:18" x14ac:dyDescent="0.25">
      <c r="B57" s="554"/>
      <c r="C57" s="555"/>
      <c r="D57" s="558"/>
      <c r="E57" s="476"/>
      <c r="F57" s="476"/>
      <c r="G57" s="476"/>
      <c r="H57" s="476"/>
      <c r="I57" s="476"/>
      <c r="J57" s="476"/>
      <c r="K57" s="476"/>
      <c r="L57" s="477"/>
      <c r="M57" s="2"/>
    </row>
    <row r="58" spans="2:18" x14ac:dyDescent="0.25">
      <c r="B58" s="556"/>
      <c r="C58" s="557"/>
      <c r="D58" s="559"/>
      <c r="E58" s="511"/>
      <c r="F58" s="511"/>
      <c r="G58" s="511"/>
      <c r="H58" s="511"/>
      <c r="I58" s="511"/>
      <c r="J58" s="511"/>
      <c r="K58" s="511"/>
      <c r="L58" s="560"/>
      <c r="M58" s="2"/>
    </row>
    <row r="59" spans="2:18" x14ac:dyDescent="0.25">
      <c r="B59" s="561" t="str">
        <f>IF(Intro!$G$21="English",O59,P59)</f>
        <v>L'emploi indirect</v>
      </c>
      <c r="C59" s="562"/>
      <c r="D59" s="563" t="str">
        <f>IF(Intro!$G$21="English",O60,P60)</f>
        <v>Les coûts de main-d'œuvre du personnel des usines, comme les surveillants, les chefs d’usine et les préposés au contrôle de la qualité, mais exclus le personnel de vente et d’administration.</v>
      </c>
      <c r="E59" s="508"/>
      <c r="F59" s="508"/>
      <c r="G59" s="508"/>
      <c r="H59" s="508"/>
      <c r="I59" s="508"/>
      <c r="J59" s="508"/>
      <c r="K59" s="508"/>
      <c r="L59" s="564"/>
      <c r="M59" s="2"/>
      <c r="O59" s="2" t="s">
        <v>371</v>
      </c>
      <c r="P59" s="2" t="s">
        <v>377</v>
      </c>
    </row>
    <row r="60" spans="2:18" x14ac:dyDescent="0.25">
      <c r="B60" s="554"/>
      <c r="C60" s="555"/>
      <c r="D60" s="558"/>
      <c r="E60" s="476"/>
      <c r="F60" s="476"/>
      <c r="G60" s="476"/>
      <c r="H60" s="476"/>
      <c r="I60" s="476"/>
      <c r="J60" s="476"/>
      <c r="K60" s="476"/>
      <c r="L60" s="477"/>
      <c r="M60" s="2"/>
      <c r="O60" s="2" t="s">
        <v>754</v>
      </c>
      <c r="P60" s="2" t="s">
        <v>755</v>
      </c>
    </row>
    <row r="61" spans="2:18" x14ac:dyDescent="0.25">
      <c r="B61" s="556"/>
      <c r="C61" s="557"/>
      <c r="D61" s="559"/>
      <c r="E61" s="511"/>
      <c r="F61" s="511"/>
      <c r="G61" s="511"/>
      <c r="H61" s="511"/>
      <c r="I61" s="511"/>
      <c r="J61" s="511"/>
      <c r="K61" s="511"/>
      <c r="L61" s="560"/>
      <c r="M61" s="2"/>
    </row>
    <row r="62" spans="2:18" x14ac:dyDescent="0.25">
      <c r="B62" s="561" t="str">
        <f>IF(Intro!$G$21="English",O62,P62)</f>
        <v>Valeur de vente nette rendue</v>
      </c>
      <c r="C62" s="562"/>
      <c r="D62" s="563" t="str">
        <f>IF(Intro!$G$21="English",O63,P63)</f>
        <v>La valeur de vos ventes après déduction des escomptes au comptant, des remises sur quantité et des escomptes reportés, des rabais, des taxes, des ristournes et des primes, qu’ils soient indiqués ou non sur la facture. Incluez le coût de livraison.</v>
      </c>
      <c r="E62" s="508"/>
      <c r="F62" s="508"/>
      <c r="G62" s="508"/>
      <c r="H62" s="508"/>
      <c r="I62" s="508"/>
      <c r="J62" s="508"/>
      <c r="K62" s="508"/>
      <c r="L62" s="564"/>
      <c r="M62" s="2"/>
      <c r="O62" s="2" t="s">
        <v>372</v>
      </c>
      <c r="P62" s="2" t="s">
        <v>378</v>
      </c>
    </row>
    <row r="63" spans="2:18" x14ac:dyDescent="0.25">
      <c r="B63" s="554"/>
      <c r="C63" s="555"/>
      <c r="D63" s="558"/>
      <c r="E63" s="476"/>
      <c r="F63" s="476"/>
      <c r="G63" s="476"/>
      <c r="H63" s="476"/>
      <c r="I63" s="476"/>
      <c r="J63" s="476"/>
      <c r="K63" s="476"/>
      <c r="L63" s="477"/>
      <c r="M63" s="2"/>
      <c r="O63" s="2" t="s">
        <v>749</v>
      </c>
      <c r="P63" s="1" t="s">
        <v>644</v>
      </c>
      <c r="R63" s="1"/>
    </row>
    <row r="64" spans="2:18" x14ac:dyDescent="0.25">
      <c r="B64" s="556"/>
      <c r="C64" s="557"/>
      <c r="D64" s="559"/>
      <c r="E64" s="511"/>
      <c r="F64" s="511"/>
      <c r="G64" s="511"/>
      <c r="H64" s="511"/>
      <c r="I64" s="511"/>
      <c r="J64" s="511"/>
      <c r="K64" s="511"/>
      <c r="L64" s="560"/>
      <c r="M64" s="2"/>
      <c r="R64" s="1"/>
    </row>
    <row r="65" spans="2:16" x14ac:dyDescent="0.25">
      <c r="B65" s="561" t="str">
        <f>IF(Intro!$G$21="English",O65,P65)</f>
        <v>Valeur de vente nette</v>
      </c>
      <c r="C65" s="562"/>
      <c r="D65" s="563" t="str">
        <f>IF(Intro!$G$21="English",O66,P66)</f>
        <v>La valeur de vos ventes après déduction des retours, rabais pour marchandises endommagées ou manquantes et tous rabais, escomptes et incitatifs offerts.</v>
      </c>
      <c r="E65" s="508"/>
      <c r="F65" s="508"/>
      <c r="G65" s="508"/>
      <c r="H65" s="508"/>
      <c r="I65" s="508"/>
      <c r="J65" s="508"/>
      <c r="K65" s="508"/>
      <c r="L65" s="564"/>
      <c r="M65" s="2"/>
      <c r="O65" s="2" t="s">
        <v>373</v>
      </c>
      <c r="P65" s="2" t="s">
        <v>71</v>
      </c>
    </row>
    <row r="66" spans="2:16" x14ac:dyDescent="0.25">
      <c r="B66" s="554"/>
      <c r="C66" s="555"/>
      <c r="D66" s="558"/>
      <c r="E66" s="476"/>
      <c r="F66" s="476"/>
      <c r="G66" s="476"/>
      <c r="H66" s="476"/>
      <c r="I66" s="476"/>
      <c r="J66" s="476"/>
      <c r="K66" s="476"/>
      <c r="L66" s="477"/>
      <c r="M66" s="2"/>
      <c r="O66" s="2" t="s">
        <v>645</v>
      </c>
      <c r="P66" s="2" t="s">
        <v>646</v>
      </c>
    </row>
    <row r="67" spans="2:16" x14ac:dyDescent="0.25">
      <c r="B67" s="561" t="str">
        <f>IF(Intro!$G$21="English",O67,P67)</f>
        <v xml:space="preserve">La capacité pratique des usines
</v>
      </c>
      <c r="C67" s="562"/>
      <c r="D67" s="563" t="str">
        <f>IF(Intro!$G$21="English",O68,P68)</f>
        <v>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v>
      </c>
      <c r="E67" s="508"/>
      <c r="F67" s="508"/>
      <c r="G67" s="508"/>
      <c r="H67" s="508"/>
      <c r="I67" s="508"/>
      <c r="J67" s="508"/>
      <c r="K67" s="508"/>
      <c r="L67" s="564"/>
      <c r="M67" s="2"/>
      <c r="O67" s="2" t="s">
        <v>374</v>
      </c>
      <c r="P67" s="2" t="s">
        <v>379</v>
      </c>
    </row>
    <row r="68" spans="2:16" x14ac:dyDescent="0.25">
      <c r="B68" s="554"/>
      <c r="C68" s="555"/>
      <c r="D68" s="558"/>
      <c r="E68" s="476"/>
      <c r="F68" s="476"/>
      <c r="G68" s="476"/>
      <c r="H68" s="476"/>
      <c r="I68" s="476"/>
      <c r="J68" s="476"/>
      <c r="K68" s="476"/>
      <c r="L68" s="477"/>
      <c r="O68" s="2" t="s">
        <v>605</v>
      </c>
      <c r="P68" s="2" t="s">
        <v>691</v>
      </c>
    </row>
    <row r="69" spans="2:16" x14ac:dyDescent="0.25">
      <c r="B69" s="554"/>
      <c r="C69" s="555"/>
      <c r="D69" s="558"/>
      <c r="E69" s="476"/>
      <c r="F69" s="476"/>
      <c r="G69" s="476"/>
      <c r="H69" s="476"/>
      <c r="I69" s="476"/>
      <c r="J69" s="476"/>
      <c r="K69" s="476"/>
      <c r="L69" s="477"/>
    </row>
    <row r="70" spans="2:16" x14ac:dyDescent="0.25">
      <c r="B70" s="554"/>
      <c r="C70" s="555"/>
      <c r="D70" s="558"/>
      <c r="E70" s="476"/>
      <c r="F70" s="476"/>
      <c r="G70" s="476"/>
      <c r="H70" s="476"/>
      <c r="I70" s="476"/>
      <c r="J70" s="476"/>
      <c r="K70" s="476"/>
      <c r="L70" s="477"/>
    </row>
    <row r="71" spans="2:16" x14ac:dyDescent="0.25">
      <c r="B71" s="544" t="str">
        <f>IF(Intro!$G$21="English",O71,P71)</f>
        <v>Entreprises affiliées</v>
      </c>
      <c r="C71" s="545"/>
      <c r="D71" s="479" t="str">
        <f>IF(Intro!$G$21="English",O72,P72)</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71" s="479"/>
      <c r="F71" s="479"/>
      <c r="G71" s="479"/>
      <c r="H71" s="479"/>
      <c r="I71" s="479"/>
      <c r="J71" s="479"/>
      <c r="K71" s="479"/>
      <c r="L71" s="550"/>
      <c r="M71" s="2"/>
      <c r="O71" s="2" t="s">
        <v>606</v>
      </c>
      <c r="P71" s="2" t="s">
        <v>607</v>
      </c>
    </row>
    <row r="72" spans="2:16" x14ac:dyDescent="0.25">
      <c r="B72" s="546"/>
      <c r="C72" s="547"/>
      <c r="D72" s="481"/>
      <c r="E72" s="481"/>
      <c r="F72" s="481"/>
      <c r="G72" s="481"/>
      <c r="H72" s="481"/>
      <c r="I72" s="481"/>
      <c r="J72" s="481"/>
      <c r="K72" s="481"/>
      <c r="L72" s="551"/>
      <c r="M72" s="2"/>
      <c r="O72" s="2" t="s">
        <v>603</v>
      </c>
      <c r="P72" s="2" t="s">
        <v>604</v>
      </c>
    </row>
    <row r="73" spans="2:16" x14ac:dyDescent="0.25">
      <c r="B73" s="546"/>
      <c r="C73" s="547"/>
      <c r="D73" s="481"/>
      <c r="E73" s="481"/>
      <c r="F73" s="481"/>
      <c r="G73" s="481"/>
      <c r="H73" s="481"/>
      <c r="I73" s="481"/>
      <c r="J73" s="481"/>
      <c r="K73" s="481"/>
      <c r="L73" s="551"/>
      <c r="M73" s="2"/>
    </row>
    <row r="74" spans="2:16" x14ac:dyDescent="0.25">
      <c r="B74" s="548"/>
      <c r="C74" s="549"/>
      <c r="D74" s="552"/>
      <c r="E74" s="552"/>
      <c r="F74" s="552"/>
      <c r="G74" s="552"/>
      <c r="H74" s="552"/>
      <c r="I74" s="552"/>
      <c r="J74" s="552"/>
      <c r="K74" s="552"/>
      <c r="L74" s="553"/>
      <c r="M74" s="2"/>
    </row>
  </sheetData>
  <sheetProtection algorithmName="SHA-512" hashValue="V66sKGXnspcLjc0shDPJt36ykiaFFBWvKtF9XLldNF7oTKTaPr2PkYpxMCTTy6UCCSzatYCfMLwDsx6p0/EwuA==" saltValue="z3k0n6yhjbNsyVwvoeZpww==" spinCount="100000" sheet="1" objects="1" scenarios="1" selectLockedCells="1"/>
  <mergeCells count="38">
    <mergeCell ref="B37:L37"/>
    <mergeCell ref="B24:L24"/>
    <mergeCell ref="B26:L26"/>
    <mergeCell ref="B28:C30"/>
    <mergeCell ref="D28:J30"/>
    <mergeCell ref="B32:C34"/>
    <mergeCell ref="D32:J34"/>
    <mergeCell ref="B4:L4"/>
    <mergeCell ref="B5:L5"/>
    <mergeCell ref="B6:L6"/>
    <mergeCell ref="B21:L21"/>
    <mergeCell ref="B8:L8"/>
    <mergeCell ref="B10:L10"/>
    <mergeCell ref="B19:L19"/>
    <mergeCell ref="B12:L13"/>
    <mergeCell ref="B15:L16"/>
    <mergeCell ref="B55:C58"/>
    <mergeCell ref="D55:L58"/>
    <mergeCell ref="B59:C61"/>
    <mergeCell ref="D59:L61"/>
    <mergeCell ref="B62:C64"/>
    <mergeCell ref="D62:L64"/>
    <mergeCell ref="B71:C74"/>
    <mergeCell ref="D71:L74"/>
    <mergeCell ref="B38:C40"/>
    <mergeCell ref="D38:L40"/>
    <mergeCell ref="B41:C44"/>
    <mergeCell ref="D41:L44"/>
    <mergeCell ref="B48:C51"/>
    <mergeCell ref="D48:L51"/>
    <mergeCell ref="B45:C47"/>
    <mergeCell ref="D45:L47"/>
    <mergeCell ref="B52:C54"/>
    <mergeCell ref="D52:L54"/>
    <mergeCell ref="B65:C66"/>
    <mergeCell ref="D65:L66"/>
    <mergeCell ref="B67:C70"/>
    <mergeCell ref="D67:L70"/>
  </mergeCells>
  <printOptions horizontalCentered="1"/>
  <pageMargins left="0.25" right="0.25" top="0.75" bottom="0.75" header="0.3" footer="0.3"/>
  <pageSetup scale="63" fitToHeight="0" orientation="portrait" r:id="rId1"/>
  <headerFooter>
    <oddFooter>&amp;L&amp;A</oddFooter>
  </headerFooter>
  <rowBreaks count="1" manualBreakCount="1">
    <brk id="36"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89"/>
  <sheetViews>
    <sheetView showGridLines="0" topLeftCell="A246" zoomScaleNormal="100" workbookViewId="0">
      <selection activeCell="O246" sqref="O1:P1048576"/>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9" hidden="1" customWidth="1"/>
    <col min="17" max="17" width="9.140625" style="2" customWidth="1"/>
    <col min="18" max="16384" width="9.140625" style="2"/>
  </cols>
  <sheetData>
    <row r="1" spans="1:16" x14ac:dyDescent="0.25">
      <c r="O1" s="2" t="s">
        <v>744</v>
      </c>
      <c r="P1" s="2" t="s">
        <v>744</v>
      </c>
    </row>
    <row r="2" spans="1:16" x14ac:dyDescent="0.25">
      <c r="B2" s="20" t="s">
        <v>0</v>
      </c>
      <c r="C2" s="20"/>
      <c r="D2" s="20"/>
      <c r="O2" s="3" t="s">
        <v>166</v>
      </c>
      <c r="P2" s="3" t="s">
        <v>167</v>
      </c>
    </row>
    <row r="3" spans="1:16" x14ac:dyDescent="0.25">
      <c r="B3" s="21"/>
      <c r="C3" s="21"/>
      <c r="D3" s="21"/>
      <c r="O3" s="8"/>
      <c r="P3" s="8"/>
    </row>
    <row r="4" spans="1:16" s="8" customFormat="1" x14ac:dyDescent="0.25">
      <c r="A4" s="13"/>
      <c r="B4" s="462" t="str">
        <f>Info!B4</f>
        <v>QUESTIONNAIRE À L’INTENTION DES PRODUCTEURS</v>
      </c>
      <c r="C4" s="463"/>
      <c r="D4" s="463"/>
      <c r="E4" s="463"/>
      <c r="F4" s="463"/>
      <c r="G4" s="463"/>
      <c r="H4" s="463"/>
      <c r="I4" s="463"/>
      <c r="J4" s="463"/>
      <c r="K4" s="463"/>
      <c r="L4" s="464"/>
      <c r="M4" s="6"/>
      <c r="N4" s="6"/>
      <c r="O4" s="14"/>
      <c r="P4" s="14"/>
    </row>
    <row r="5" spans="1:16" s="8" customFormat="1" x14ac:dyDescent="0.25">
      <c r="A5" s="13"/>
      <c r="B5" s="465" t="str">
        <f>Info!B5</f>
        <v>NQ-2026-005</v>
      </c>
      <c r="C5" s="466"/>
      <c r="D5" s="466"/>
      <c r="E5" s="466"/>
      <c r="F5" s="466"/>
      <c r="G5" s="466"/>
      <c r="H5" s="466"/>
      <c r="I5" s="466"/>
      <c r="J5" s="466"/>
      <c r="K5" s="466"/>
      <c r="L5" s="467"/>
      <c r="M5" s="6"/>
      <c r="N5" s="6"/>
      <c r="O5" s="14"/>
      <c r="P5" s="14"/>
    </row>
    <row r="6" spans="1:16" s="9" customFormat="1" x14ac:dyDescent="0.25">
      <c r="A6" s="13"/>
      <c r="B6" s="465" t="str">
        <f>Info!B6</f>
        <v>CERTAINS RAYONNAGES EN ACIER</v>
      </c>
      <c r="C6" s="466"/>
      <c r="D6" s="466"/>
      <c r="E6" s="466"/>
      <c r="F6" s="466"/>
      <c r="G6" s="466"/>
      <c r="H6" s="466"/>
      <c r="I6" s="466"/>
      <c r="J6" s="466"/>
      <c r="K6" s="466"/>
      <c r="L6" s="467"/>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7" t="str">
        <f>IF(Intro!$G$21="English",O8,P8)</f>
        <v>Les questions suivantes font référence aux marchandises comme définies dans la description du produit de l'onglet Intro.</v>
      </c>
      <c r="C8" s="608"/>
      <c r="D8" s="608"/>
      <c r="E8" s="608"/>
      <c r="F8" s="608"/>
      <c r="G8" s="608"/>
      <c r="H8" s="608"/>
      <c r="I8" s="608"/>
      <c r="J8" s="608"/>
      <c r="K8" s="608"/>
      <c r="L8" s="609"/>
      <c r="M8" s="14"/>
      <c r="N8" s="14"/>
      <c r="O8" s="10" t="str">
        <f>"The following questions refer to the goods as defined in the product description on the Intro tab."</f>
        <v>The following questions refer to the goods as defined in the product description on the Intro tab.</v>
      </c>
      <c r="P8" s="10" t="str">
        <f>"Les questions suivantes font référence aux marchandises comme définies dans la description du produit de l'onglet Intro."</f>
        <v>Les questions suivantes font référence aux marchandises comme définies dans la description du produit de l'onglet Intro.</v>
      </c>
    </row>
    <row r="9" spans="1:16" s="9" customFormat="1" x14ac:dyDescent="0.25">
      <c r="A9" s="13"/>
      <c r="B9" s="607" t="str">
        <f>IF(Intro!$G$21="English",O9,P9)</f>
        <v>Des informations sur le produit et un glossaire de termes sont disponibles dans l'onglet Info.</v>
      </c>
      <c r="C9" s="608"/>
      <c r="D9" s="608"/>
      <c r="E9" s="608"/>
      <c r="F9" s="608"/>
      <c r="G9" s="608"/>
      <c r="H9" s="608"/>
      <c r="I9" s="608"/>
      <c r="J9" s="608"/>
      <c r="K9" s="608"/>
      <c r="L9" s="609"/>
      <c r="M9" s="14"/>
      <c r="N9" s="14"/>
      <c r="O9" s="10" t="s">
        <v>176</v>
      </c>
      <c r="P9" s="9" t="s">
        <v>177</v>
      </c>
    </row>
    <row r="10" spans="1:16" s="9" customFormat="1" x14ac:dyDescent="0.25">
      <c r="A10" s="13"/>
      <c r="B10" s="610" t="str">
        <f>IF(Intro!$G$21="English",O10,P10)</f>
        <v>Utilisez l'onglet AddPub si vous avez besoin de plus d'espace.</v>
      </c>
      <c r="C10" s="611"/>
      <c r="D10" s="611"/>
      <c r="E10" s="611"/>
      <c r="F10" s="611"/>
      <c r="G10" s="611"/>
      <c r="H10" s="611"/>
      <c r="I10" s="611"/>
      <c r="J10" s="611"/>
      <c r="K10" s="611"/>
      <c r="L10" s="612"/>
      <c r="M10" s="14"/>
      <c r="N10" s="14"/>
      <c r="O10" s="10" t="s">
        <v>287</v>
      </c>
      <c r="P10" s="10" t="s">
        <v>288</v>
      </c>
    </row>
    <row r="11" spans="1:16" s="9" customFormat="1" x14ac:dyDescent="0.25">
      <c r="A11" s="13"/>
      <c r="B11" s="22"/>
      <c r="C11" s="22"/>
      <c r="D11" s="22"/>
      <c r="E11" s="23"/>
      <c r="F11" s="23"/>
      <c r="G11" s="23"/>
      <c r="H11" s="23"/>
      <c r="I11" s="23"/>
      <c r="J11" s="23"/>
      <c r="K11" s="23"/>
      <c r="L11" s="23"/>
      <c r="O11" s="10"/>
      <c r="P11" s="10"/>
    </row>
    <row r="12" spans="1:16" x14ac:dyDescent="0.25">
      <c r="B12" s="453" t="str">
        <f>IF(Intro!$G$21="English",O12,P12)</f>
        <v>INFORMATIONS GÉNÉRALES SUR L'ENTREPRISE</v>
      </c>
      <c r="C12" s="454"/>
      <c r="D12" s="454"/>
      <c r="E12" s="454"/>
      <c r="F12" s="454"/>
      <c r="G12" s="454"/>
      <c r="H12" s="454"/>
      <c r="I12" s="454"/>
      <c r="J12" s="454"/>
      <c r="K12" s="454"/>
      <c r="L12" s="455"/>
      <c r="M12" s="152"/>
      <c r="O12" s="198" t="s">
        <v>647</v>
      </c>
      <c r="P12" s="198" t="s">
        <v>648</v>
      </c>
    </row>
    <row r="13" spans="1:16" x14ac:dyDescent="0.25">
      <c r="B13" s="592" t="s">
        <v>20</v>
      </c>
      <c r="C13" s="593"/>
      <c r="D13" s="593"/>
      <c r="E13" s="593"/>
      <c r="F13" s="593"/>
      <c r="G13" s="593"/>
      <c r="H13" s="593"/>
      <c r="I13" s="593"/>
      <c r="J13" s="593"/>
      <c r="K13" s="593"/>
      <c r="L13" s="594"/>
      <c r="M13" s="2"/>
    </row>
    <row r="14" spans="1:16" x14ac:dyDescent="0.25">
      <c r="B14" s="24"/>
      <c r="C14" s="25"/>
      <c r="D14" s="25"/>
      <c r="E14" s="26"/>
      <c r="F14" s="26"/>
      <c r="G14" s="26"/>
      <c r="H14" s="26"/>
      <c r="I14" s="26"/>
      <c r="J14" s="26"/>
      <c r="K14" s="26"/>
      <c r="L14" s="27"/>
      <c r="M14" s="2"/>
    </row>
    <row r="15" spans="1:16" x14ac:dyDescent="0.25">
      <c r="B15" s="456" t="str">
        <f>IF(Intro!$G$21="English",O15,P15)</f>
        <v>Donnez un bref historique de votre entreprise, en insistant plus particulièrement sur les activités entourant les marchandises.</v>
      </c>
      <c r="C15" s="457"/>
      <c r="D15" s="457"/>
      <c r="E15" s="457"/>
      <c r="F15" s="457"/>
      <c r="G15" s="457"/>
      <c r="H15" s="457"/>
      <c r="I15" s="457"/>
      <c r="J15" s="457"/>
      <c r="K15" s="457"/>
      <c r="L15" s="458"/>
      <c r="M15" s="2"/>
      <c r="O15" s="155" t="s">
        <v>136</v>
      </c>
      <c r="P15" s="9" t="s">
        <v>137</v>
      </c>
    </row>
    <row r="16" spans="1:16" s="152" customFormat="1" x14ac:dyDescent="0.25">
      <c r="A16" s="173"/>
      <c r="B16" s="185"/>
      <c r="C16" s="174"/>
      <c r="D16" s="174"/>
      <c r="E16" s="174"/>
      <c r="F16" s="174"/>
      <c r="G16" s="174"/>
      <c r="H16" s="174"/>
      <c r="I16" s="174"/>
      <c r="J16" s="174"/>
      <c r="K16" s="174"/>
      <c r="L16" s="175"/>
      <c r="O16" s="9"/>
      <c r="P16" s="9"/>
    </row>
    <row r="17" spans="1:16" s="3" customFormat="1" x14ac:dyDescent="0.25">
      <c r="A17" s="12"/>
      <c r="B17" s="582"/>
      <c r="C17" s="583"/>
      <c r="D17" s="583"/>
      <c r="E17" s="583"/>
      <c r="F17" s="583"/>
      <c r="G17" s="583"/>
      <c r="H17" s="583"/>
      <c r="I17" s="583"/>
      <c r="J17" s="583"/>
      <c r="K17" s="583"/>
      <c r="L17" s="584"/>
      <c r="M17" s="152"/>
      <c r="O17" s="154"/>
      <c r="P17" s="154"/>
    </row>
    <row r="18" spans="1:16" s="3" customFormat="1" x14ac:dyDescent="0.25">
      <c r="A18" s="12"/>
      <c r="B18" s="582"/>
      <c r="C18" s="583"/>
      <c r="D18" s="583"/>
      <c r="E18" s="583"/>
      <c r="F18" s="583"/>
      <c r="G18" s="583"/>
      <c r="H18" s="583"/>
      <c r="I18" s="583"/>
      <c r="J18" s="583"/>
      <c r="K18" s="583"/>
      <c r="L18" s="584"/>
      <c r="M18" s="152"/>
      <c r="O18" s="154"/>
      <c r="P18" s="154"/>
    </row>
    <row r="19" spans="1:16" s="3" customFormat="1" x14ac:dyDescent="0.25">
      <c r="A19" s="12"/>
      <c r="B19" s="582"/>
      <c r="C19" s="583"/>
      <c r="D19" s="583"/>
      <c r="E19" s="583"/>
      <c r="F19" s="583"/>
      <c r="G19" s="583"/>
      <c r="H19" s="583"/>
      <c r="I19" s="583"/>
      <c r="J19" s="583"/>
      <c r="K19" s="583"/>
      <c r="L19" s="584"/>
      <c r="M19" s="152"/>
      <c r="O19" s="154"/>
      <c r="P19" s="154"/>
    </row>
    <row r="20" spans="1:16" s="3" customFormat="1" x14ac:dyDescent="0.25">
      <c r="A20" s="12"/>
      <c r="B20" s="582"/>
      <c r="C20" s="583"/>
      <c r="D20" s="583"/>
      <c r="E20" s="583"/>
      <c r="F20" s="583"/>
      <c r="G20" s="583"/>
      <c r="H20" s="583"/>
      <c r="I20" s="583"/>
      <c r="J20" s="583"/>
      <c r="K20" s="583"/>
      <c r="L20" s="584"/>
      <c r="M20" s="152"/>
      <c r="O20" s="154"/>
      <c r="P20" s="154"/>
    </row>
    <row r="21" spans="1:16" s="3" customFormat="1" x14ac:dyDescent="0.25">
      <c r="A21" s="12"/>
      <c r="B21" s="582"/>
      <c r="C21" s="583"/>
      <c r="D21" s="583"/>
      <c r="E21" s="583"/>
      <c r="F21" s="583"/>
      <c r="G21" s="583"/>
      <c r="H21" s="583"/>
      <c r="I21" s="583"/>
      <c r="J21" s="583"/>
      <c r="K21" s="583"/>
      <c r="L21" s="584"/>
      <c r="M21" s="152"/>
      <c r="O21" s="154"/>
      <c r="P21" s="154"/>
    </row>
    <row r="22" spans="1:16" s="3" customFormat="1" x14ac:dyDescent="0.25">
      <c r="A22" s="12"/>
      <c r="B22" s="582"/>
      <c r="C22" s="583"/>
      <c r="D22" s="583"/>
      <c r="E22" s="583"/>
      <c r="F22" s="583"/>
      <c r="G22" s="583"/>
      <c r="H22" s="583"/>
      <c r="I22" s="583"/>
      <c r="J22" s="583"/>
      <c r="K22" s="583"/>
      <c r="L22" s="584"/>
      <c r="M22" s="152"/>
      <c r="O22" s="154"/>
      <c r="P22" s="154"/>
    </row>
    <row r="23" spans="1:16" s="3" customFormat="1" x14ac:dyDescent="0.25">
      <c r="A23" s="12"/>
      <c r="B23" s="582"/>
      <c r="C23" s="583"/>
      <c r="D23" s="583"/>
      <c r="E23" s="583"/>
      <c r="F23" s="583"/>
      <c r="G23" s="583"/>
      <c r="H23" s="583"/>
      <c r="I23" s="583"/>
      <c r="J23" s="583"/>
      <c r="K23" s="583"/>
      <c r="L23" s="584"/>
      <c r="M23" s="152"/>
      <c r="O23" s="154"/>
      <c r="P23" s="154"/>
    </row>
    <row r="24" spans="1:16" s="3" customFormat="1" x14ac:dyDescent="0.25">
      <c r="A24" s="12"/>
      <c r="B24" s="582"/>
      <c r="C24" s="583"/>
      <c r="D24" s="583"/>
      <c r="E24" s="583"/>
      <c r="F24" s="583"/>
      <c r="G24" s="583"/>
      <c r="H24" s="583"/>
      <c r="I24" s="583"/>
      <c r="J24" s="583"/>
      <c r="K24" s="583"/>
      <c r="L24" s="584"/>
      <c r="M24" s="152"/>
      <c r="O24" s="154"/>
      <c r="P24" s="154"/>
    </row>
    <row r="25" spans="1:16" s="152" customFormat="1" x14ac:dyDescent="0.25">
      <c r="A25" s="173"/>
      <c r="B25" s="187"/>
      <c r="C25" s="188"/>
      <c r="D25" s="188"/>
      <c r="E25" s="188"/>
      <c r="F25" s="188"/>
      <c r="G25" s="188"/>
      <c r="H25" s="188"/>
      <c r="I25" s="188"/>
      <c r="J25" s="188"/>
      <c r="K25" s="188"/>
      <c r="L25" s="186"/>
      <c r="O25" s="9"/>
      <c r="P25" s="9"/>
    </row>
    <row r="26" spans="1:16" s="3" customFormat="1" x14ac:dyDescent="0.25">
      <c r="A26" s="12"/>
      <c r="B26" s="585" t="s">
        <v>21</v>
      </c>
      <c r="C26" s="586"/>
      <c r="D26" s="586"/>
      <c r="E26" s="586"/>
      <c r="F26" s="586"/>
      <c r="G26" s="586"/>
      <c r="H26" s="586"/>
      <c r="I26" s="586"/>
      <c r="J26" s="586"/>
      <c r="K26" s="586"/>
      <c r="L26" s="587"/>
      <c r="M26" s="168"/>
      <c r="O26" s="154"/>
      <c r="P26" s="154"/>
    </row>
    <row r="27" spans="1:16" s="152" customFormat="1" x14ac:dyDescent="0.25">
      <c r="A27" s="173"/>
      <c r="B27" s="185"/>
      <c r="C27" s="174"/>
      <c r="D27" s="174"/>
      <c r="E27" s="174"/>
      <c r="F27" s="174"/>
      <c r="G27" s="174"/>
      <c r="H27" s="174"/>
      <c r="I27" s="174"/>
      <c r="J27" s="174"/>
      <c r="K27" s="174"/>
      <c r="L27" s="175"/>
      <c r="O27" s="9"/>
      <c r="P27" s="9"/>
    </row>
    <row r="28" spans="1:16" s="152" customFormat="1" x14ac:dyDescent="0.25">
      <c r="A28" s="173"/>
      <c r="B28" s="475" t="str">
        <f>IF(Intro!$G$21="English",O28,P28)</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8" s="476"/>
      <c r="D28" s="476"/>
      <c r="E28" s="476"/>
      <c r="F28" s="476"/>
      <c r="G28" s="476"/>
      <c r="H28" s="476"/>
      <c r="I28" s="476"/>
      <c r="J28" s="476"/>
      <c r="K28" s="476"/>
      <c r="L28" s="477"/>
      <c r="O28" s="2" t="s">
        <v>835</v>
      </c>
      <c r="P28" s="2" t="s">
        <v>836</v>
      </c>
    </row>
    <row r="29" spans="1:16" s="152" customFormat="1" x14ac:dyDescent="0.25">
      <c r="A29" s="173"/>
      <c r="B29" s="475"/>
      <c r="C29" s="476"/>
      <c r="D29" s="476"/>
      <c r="E29" s="476"/>
      <c r="F29" s="476"/>
      <c r="G29" s="476"/>
      <c r="H29" s="476"/>
      <c r="I29" s="476"/>
      <c r="J29" s="476"/>
      <c r="K29" s="476"/>
      <c r="L29" s="477"/>
      <c r="O29" s="2"/>
      <c r="P29" s="2"/>
    </row>
    <row r="30" spans="1:16" s="152" customFormat="1" x14ac:dyDescent="0.25">
      <c r="A30" s="173"/>
      <c r="B30" s="475"/>
      <c r="C30" s="476"/>
      <c r="D30" s="476"/>
      <c r="E30" s="476"/>
      <c r="F30" s="476"/>
      <c r="G30" s="476"/>
      <c r="H30" s="476"/>
      <c r="I30" s="476"/>
      <c r="J30" s="476"/>
      <c r="K30" s="476"/>
      <c r="L30" s="477"/>
      <c r="O30" s="2"/>
      <c r="P30" s="2"/>
    </row>
    <row r="31" spans="1:16" s="152" customFormat="1" x14ac:dyDescent="0.25">
      <c r="A31" s="173"/>
      <c r="B31" s="475"/>
      <c r="C31" s="476"/>
      <c r="D31" s="476"/>
      <c r="E31" s="476"/>
      <c r="F31" s="476"/>
      <c r="G31" s="476"/>
      <c r="H31" s="476"/>
      <c r="I31" s="476"/>
      <c r="J31" s="476"/>
      <c r="K31" s="476"/>
      <c r="L31" s="477"/>
    </row>
    <row r="32" spans="1:16" s="152" customFormat="1" x14ac:dyDescent="0.25">
      <c r="A32" s="173"/>
      <c r="B32" s="475"/>
      <c r="C32" s="476"/>
      <c r="D32" s="476"/>
      <c r="E32" s="476"/>
      <c r="F32" s="476"/>
      <c r="G32" s="476"/>
      <c r="H32" s="476"/>
      <c r="I32" s="476"/>
      <c r="J32" s="476"/>
      <c r="K32" s="476"/>
      <c r="L32" s="477"/>
    </row>
    <row r="33" spans="1:16" s="152" customFormat="1" x14ac:dyDescent="0.25">
      <c r="A33" s="173"/>
      <c r="B33" s="185"/>
      <c r="C33" s="174"/>
      <c r="D33" s="174"/>
      <c r="E33" s="174"/>
      <c r="F33" s="174"/>
      <c r="G33" s="174"/>
      <c r="H33" s="174"/>
      <c r="I33" s="174"/>
      <c r="J33" s="174"/>
      <c r="K33" s="174"/>
      <c r="L33" s="175"/>
    </row>
    <row r="34" spans="1:16" x14ac:dyDescent="0.25">
      <c r="B34" s="158"/>
      <c r="C34" s="605" t="str">
        <f>IF(Intro!$G$21="English",O34,P34)</f>
        <v xml:space="preserve">Dénomination sociale de l'entreprise </v>
      </c>
      <c r="D34" s="605"/>
      <c r="E34" s="605" t="str">
        <f>IF(Intro!$G$21="English",O35,P35)</f>
        <v>Adresse de l'entreprise</v>
      </c>
      <c r="F34" s="605"/>
      <c r="G34" s="605" t="str">
        <f>IF(Intro!$G$21="English",O36,P36)</f>
        <v>Type d'affiliation</v>
      </c>
      <c r="H34" s="605"/>
      <c r="I34" s="605"/>
      <c r="J34" s="605" t="str">
        <f>IF(Intro!$G$21="English",O37,P37)</f>
        <v>Rôle dans l'industrie</v>
      </c>
      <c r="K34" s="605"/>
      <c r="L34" s="606"/>
      <c r="M34" s="2"/>
      <c r="O34" s="9" t="s">
        <v>22</v>
      </c>
      <c r="P34" s="9" t="s">
        <v>23</v>
      </c>
    </row>
    <row r="35" spans="1:16" x14ac:dyDescent="0.25">
      <c r="B35" s="158"/>
      <c r="C35" s="605"/>
      <c r="D35" s="605"/>
      <c r="E35" s="605"/>
      <c r="F35" s="605"/>
      <c r="G35" s="605"/>
      <c r="H35" s="605"/>
      <c r="I35" s="605"/>
      <c r="J35" s="605"/>
      <c r="K35" s="605"/>
      <c r="L35" s="606"/>
      <c r="M35" s="2"/>
      <c r="O35" s="9" t="s">
        <v>7</v>
      </c>
      <c r="P35" s="9" t="s">
        <v>8</v>
      </c>
    </row>
    <row r="36" spans="1:16" x14ac:dyDescent="0.25">
      <c r="B36" s="604">
        <v>1</v>
      </c>
      <c r="C36" s="502"/>
      <c r="D36" s="502"/>
      <c r="E36" s="502"/>
      <c r="F36" s="502"/>
      <c r="G36" s="502"/>
      <c r="H36" s="502"/>
      <c r="I36" s="502"/>
      <c r="J36" s="502"/>
      <c r="K36" s="502"/>
      <c r="L36" s="503"/>
      <c r="M36" s="2"/>
      <c r="O36" s="9" t="s">
        <v>406</v>
      </c>
      <c r="P36" s="9" t="s">
        <v>708</v>
      </c>
    </row>
    <row r="37" spans="1:16" x14ac:dyDescent="0.25">
      <c r="B37" s="604"/>
      <c r="C37" s="502"/>
      <c r="D37" s="502"/>
      <c r="E37" s="502"/>
      <c r="F37" s="502"/>
      <c r="G37" s="502"/>
      <c r="H37" s="502"/>
      <c r="I37" s="502"/>
      <c r="J37" s="502"/>
      <c r="K37" s="502"/>
      <c r="L37" s="503"/>
      <c r="M37" s="2"/>
      <c r="O37" s="9" t="s">
        <v>24</v>
      </c>
      <c r="P37" s="9" t="s">
        <v>25</v>
      </c>
    </row>
    <row r="38" spans="1:16" x14ac:dyDescent="0.25">
      <c r="B38" s="604">
        <v>2</v>
      </c>
      <c r="C38" s="502"/>
      <c r="D38" s="502"/>
      <c r="E38" s="502"/>
      <c r="F38" s="502"/>
      <c r="G38" s="502"/>
      <c r="H38" s="502"/>
      <c r="I38" s="502"/>
      <c r="J38" s="502"/>
      <c r="K38" s="502"/>
      <c r="L38" s="503"/>
      <c r="M38" s="2"/>
      <c r="O38" s="2"/>
      <c r="P38" s="2"/>
    </row>
    <row r="39" spans="1:16" x14ac:dyDescent="0.25">
      <c r="B39" s="604"/>
      <c r="C39" s="502"/>
      <c r="D39" s="502"/>
      <c r="E39" s="502"/>
      <c r="F39" s="502"/>
      <c r="G39" s="502"/>
      <c r="H39" s="502"/>
      <c r="I39" s="502"/>
      <c r="J39" s="502"/>
      <c r="K39" s="502"/>
      <c r="L39" s="503"/>
      <c r="M39" s="2"/>
      <c r="O39" s="2"/>
      <c r="P39" s="2"/>
    </row>
    <row r="40" spans="1:16" x14ac:dyDescent="0.25">
      <c r="B40" s="604">
        <v>3</v>
      </c>
      <c r="C40" s="502"/>
      <c r="D40" s="502"/>
      <c r="E40" s="502"/>
      <c r="F40" s="502"/>
      <c r="G40" s="502"/>
      <c r="H40" s="502"/>
      <c r="I40" s="502"/>
      <c r="J40" s="502"/>
      <c r="K40" s="502"/>
      <c r="L40" s="503"/>
      <c r="M40" s="2"/>
      <c r="O40" s="2"/>
      <c r="P40" s="2"/>
    </row>
    <row r="41" spans="1:16" x14ac:dyDescent="0.25">
      <c r="B41" s="604"/>
      <c r="C41" s="502"/>
      <c r="D41" s="502"/>
      <c r="E41" s="502"/>
      <c r="F41" s="502"/>
      <c r="G41" s="502"/>
      <c r="H41" s="502"/>
      <c r="I41" s="502"/>
      <c r="J41" s="502"/>
      <c r="K41" s="502"/>
      <c r="L41" s="503"/>
      <c r="M41" s="2"/>
    </row>
    <row r="42" spans="1:16" x14ac:dyDescent="0.25">
      <c r="B42" s="604">
        <v>4</v>
      </c>
      <c r="C42" s="502"/>
      <c r="D42" s="502"/>
      <c r="E42" s="502"/>
      <c r="F42" s="502"/>
      <c r="G42" s="502"/>
      <c r="H42" s="502"/>
      <c r="I42" s="502"/>
      <c r="J42" s="502"/>
      <c r="K42" s="502"/>
      <c r="L42" s="503"/>
      <c r="M42" s="2"/>
      <c r="O42" s="2"/>
      <c r="P42" s="2"/>
    </row>
    <row r="43" spans="1:16" x14ac:dyDescent="0.25">
      <c r="B43" s="604"/>
      <c r="C43" s="502"/>
      <c r="D43" s="502"/>
      <c r="E43" s="502"/>
      <c r="F43" s="502"/>
      <c r="G43" s="502"/>
      <c r="H43" s="502"/>
      <c r="I43" s="502"/>
      <c r="J43" s="502"/>
      <c r="K43" s="502"/>
      <c r="L43" s="503"/>
      <c r="M43" s="2"/>
      <c r="O43" s="2"/>
      <c r="P43" s="2"/>
    </row>
    <row r="44" spans="1:16" x14ac:dyDescent="0.25">
      <c r="B44" s="604">
        <v>5</v>
      </c>
      <c r="C44" s="502"/>
      <c r="D44" s="502"/>
      <c r="E44" s="502"/>
      <c r="F44" s="502"/>
      <c r="G44" s="502"/>
      <c r="H44" s="502"/>
      <c r="I44" s="502"/>
      <c r="J44" s="502"/>
      <c r="K44" s="502"/>
      <c r="L44" s="503"/>
      <c r="M44" s="2"/>
    </row>
    <row r="45" spans="1:16" x14ac:dyDescent="0.25">
      <c r="B45" s="604"/>
      <c r="C45" s="502"/>
      <c r="D45" s="502"/>
      <c r="E45" s="502"/>
      <c r="F45" s="502"/>
      <c r="G45" s="502"/>
      <c r="H45" s="502"/>
      <c r="I45" s="502"/>
      <c r="J45" s="502"/>
      <c r="K45" s="502"/>
      <c r="L45" s="503"/>
      <c r="M45" s="2"/>
    </row>
    <row r="46" spans="1:16" x14ac:dyDescent="0.25">
      <c r="B46" s="604">
        <v>6</v>
      </c>
      <c r="C46" s="502"/>
      <c r="D46" s="502"/>
      <c r="E46" s="502"/>
      <c r="F46" s="502"/>
      <c r="G46" s="502"/>
      <c r="H46" s="502"/>
      <c r="I46" s="502"/>
      <c r="J46" s="502"/>
      <c r="K46" s="502"/>
      <c r="L46" s="503"/>
      <c r="M46" s="2"/>
    </row>
    <row r="47" spans="1:16" x14ac:dyDescent="0.25">
      <c r="B47" s="604"/>
      <c r="C47" s="502"/>
      <c r="D47" s="502"/>
      <c r="E47" s="502"/>
      <c r="F47" s="502"/>
      <c r="G47" s="502"/>
      <c r="H47" s="502"/>
      <c r="I47" s="502"/>
      <c r="J47" s="502"/>
      <c r="K47" s="502"/>
      <c r="L47" s="503"/>
      <c r="M47" s="2"/>
    </row>
    <row r="48" spans="1:16" x14ac:dyDescent="0.25">
      <c r="B48" s="604">
        <v>7</v>
      </c>
      <c r="C48" s="502"/>
      <c r="D48" s="502"/>
      <c r="E48" s="502"/>
      <c r="F48" s="502"/>
      <c r="G48" s="502"/>
      <c r="H48" s="502"/>
      <c r="I48" s="502"/>
      <c r="J48" s="502"/>
      <c r="K48" s="502"/>
      <c r="L48" s="503"/>
      <c r="M48" s="2"/>
    </row>
    <row r="49" spans="1:16" x14ac:dyDescent="0.25">
      <c r="B49" s="604"/>
      <c r="C49" s="502"/>
      <c r="D49" s="502"/>
      <c r="E49" s="502"/>
      <c r="F49" s="502"/>
      <c r="G49" s="502"/>
      <c r="H49" s="502"/>
      <c r="I49" s="502"/>
      <c r="J49" s="502"/>
      <c r="K49" s="502"/>
      <c r="L49" s="503"/>
      <c r="M49" s="2"/>
    </row>
    <row r="50" spans="1:16" x14ac:dyDescent="0.25">
      <c r="B50" s="604">
        <v>8</v>
      </c>
      <c r="C50" s="502"/>
      <c r="D50" s="502"/>
      <c r="E50" s="502"/>
      <c r="F50" s="502"/>
      <c r="G50" s="502"/>
      <c r="H50" s="502"/>
      <c r="I50" s="502"/>
      <c r="J50" s="502"/>
      <c r="K50" s="502"/>
      <c r="L50" s="503"/>
      <c r="M50" s="2"/>
    </row>
    <row r="51" spans="1:16" x14ac:dyDescent="0.25">
      <c r="B51" s="604"/>
      <c r="C51" s="502"/>
      <c r="D51" s="502"/>
      <c r="E51" s="502"/>
      <c r="F51" s="502"/>
      <c r="G51" s="502"/>
      <c r="H51" s="502"/>
      <c r="I51" s="502"/>
      <c r="J51" s="502"/>
      <c r="K51" s="502"/>
      <c r="L51" s="503"/>
      <c r="M51" s="2"/>
    </row>
    <row r="52" spans="1:16" x14ac:dyDescent="0.25">
      <c r="B52" s="604">
        <v>9</v>
      </c>
      <c r="C52" s="502"/>
      <c r="D52" s="502"/>
      <c r="E52" s="502"/>
      <c r="F52" s="502"/>
      <c r="G52" s="502"/>
      <c r="H52" s="502"/>
      <c r="I52" s="502"/>
      <c r="J52" s="502"/>
      <c r="K52" s="502"/>
      <c r="L52" s="503"/>
      <c r="M52" s="2"/>
    </row>
    <row r="53" spans="1:16" x14ac:dyDescent="0.25">
      <c r="B53" s="604"/>
      <c r="C53" s="502"/>
      <c r="D53" s="502"/>
      <c r="E53" s="502"/>
      <c r="F53" s="502"/>
      <c r="G53" s="502"/>
      <c r="H53" s="502"/>
      <c r="I53" s="502"/>
      <c r="J53" s="502"/>
      <c r="K53" s="502"/>
      <c r="L53" s="503"/>
      <c r="M53" s="2"/>
    </row>
    <row r="54" spans="1:16" x14ac:dyDescent="0.25">
      <c r="B54" s="604">
        <v>10</v>
      </c>
      <c r="C54" s="502"/>
      <c r="D54" s="502"/>
      <c r="E54" s="502"/>
      <c r="F54" s="502"/>
      <c r="G54" s="502"/>
      <c r="H54" s="502"/>
      <c r="I54" s="502"/>
      <c r="J54" s="502"/>
      <c r="K54" s="502"/>
      <c r="L54" s="503"/>
      <c r="M54" s="2"/>
    </row>
    <row r="55" spans="1:16" x14ac:dyDescent="0.25">
      <c r="B55" s="604"/>
      <c r="C55" s="502"/>
      <c r="D55" s="502"/>
      <c r="E55" s="502"/>
      <c r="F55" s="502"/>
      <c r="G55" s="502"/>
      <c r="H55" s="502"/>
      <c r="I55" s="502"/>
      <c r="J55" s="502"/>
      <c r="K55" s="502"/>
      <c r="L55" s="503"/>
      <c r="M55" s="2"/>
    </row>
    <row r="56" spans="1:16" s="152" customFormat="1" x14ac:dyDescent="0.25">
      <c r="A56" s="173"/>
      <c r="B56" s="187"/>
      <c r="C56" s="188"/>
      <c r="D56" s="188"/>
      <c r="E56" s="188"/>
      <c r="F56" s="188"/>
      <c r="G56" s="188"/>
      <c r="H56" s="188"/>
      <c r="I56" s="188"/>
      <c r="J56" s="188"/>
      <c r="K56" s="188"/>
      <c r="L56" s="186"/>
      <c r="O56" s="9"/>
      <c r="P56" s="9"/>
    </row>
    <row r="57" spans="1:16" s="3" customFormat="1" x14ac:dyDescent="0.25">
      <c r="A57" s="12"/>
      <c r="B57" s="585" t="s">
        <v>26</v>
      </c>
      <c r="C57" s="586"/>
      <c r="D57" s="586"/>
      <c r="E57" s="586"/>
      <c r="F57" s="586"/>
      <c r="G57" s="586"/>
      <c r="H57" s="586"/>
      <c r="I57" s="586"/>
      <c r="J57" s="586"/>
      <c r="K57" s="586"/>
      <c r="L57" s="587"/>
      <c r="M57" s="168"/>
      <c r="O57" s="154"/>
      <c r="P57" s="154"/>
    </row>
    <row r="58" spans="1:16" s="152" customFormat="1" x14ac:dyDescent="0.25">
      <c r="A58" s="173"/>
      <c r="B58" s="185"/>
      <c r="C58" s="174"/>
      <c r="D58" s="174"/>
      <c r="E58" s="174"/>
      <c r="F58" s="174"/>
      <c r="G58" s="174"/>
      <c r="H58" s="174"/>
      <c r="I58" s="174"/>
      <c r="J58" s="174"/>
      <c r="K58" s="174"/>
      <c r="L58" s="175"/>
      <c r="O58" s="9"/>
      <c r="P58" s="9"/>
    </row>
    <row r="59" spans="1:16" s="152" customFormat="1" x14ac:dyDescent="0.25">
      <c r="A59" s="173"/>
      <c r="B59" s="456" t="str">
        <f>IF(Intro!$G$21="English",O59,P59)</f>
        <v>Fournissez des détails sur tout changement dans la propriété majoritaire de votre entreprise depuis le 1er janvier 2023.</v>
      </c>
      <c r="C59" s="457"/>
      <c r="D59" s="457"/>
      <c r="E59" s="457"/>
      <c r="F59" s="457"/>
      <c r="G59" s="457"/>
      <c r="H59" s="457"/>
      <c r="I59" s="457"/>
      <c r="J59" s="457"/>
      <c r="K59" s="457"/>
      <c r="L59" s="458"/>
      <c r="O59" s="9" t="str">
        <f>"Provide details of any change of majority ownership of your firm since January 1, "&amp;Variables!B6&amp;"."</f>
        <v>Provide details of any change of majority ownership of your firm since January 1, 2023.</v>
      </c>
      <c r="P59" s="9"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60" spans="1:16" s="152" customFormat="1" x14ac:dyDescent="0.25">
      <c r="A60" s="173"/>
      <c r="B60" s="185"/>
      <c r="C60" s="174"/>
      <c r="D60" s="174"/>
      <c r="E60" s="174"/>
      <c r="F60" s="174"/>
      <c r="G60" s="174"/>
      <c r="H60" s="174"/>
      <c r="I60" s="174"/>
      <c r="J60" s="174"/>
      <c r="K60" s="174"/>
      <c r="L60" s="175"/>
      <c r="O60" s="9"/>
      <c r="P60" s="9"/>
    </row>
    <row r="61" spans="1:16" s="3" customFormat="1" x14ac:dyDescent="0.25">
      <c r="A61" s="12"/>
      <c r="B61" s="582"/>
      <c r="C61" s="583"/>
      <c r="D61" s="583"/>
      <c r="E61" s="583"/>
      <c r="F61" s="583"/>
      <c r="G61" s="583"/>
      <c r="H61" s="583"/>
      <c r="I61" s="583"/>
      <c r="J61" s="583"/>
      <c r="K61" s="583"/>
      <c r="L61" s="584"/>
      <c r="M61" s="152"/>
      <c r="O61" s="154"/>
      <c r="P61" s="154"/>
    </row>
    <row r="62" spans="1:16" s="3" customFormat="1" x14ac:dyDescent="0.25">
      <c r="A62" s="12"/>
      <c r="B62" s="582"/>
      <c r="C62" s="583"/>
      <c r="D62" s="583"/>
      <c r="E62" s="583"/>
      <c r="F62" s="583"/>
      <c r="G62" s="583"/>
      <c r="H62" s="583"/>
      <c r="I62" s="583"/>
      <c r="J62" s="583"/>
      <c r="K62" s="583"/>
      <c r="L62" s="584"/>
      <c r="M62" s="152"/>
      <c r="O62" s="154"/>
      <c r="P62" s="154"/>
    </row>
    <row r="63" spans="1:16" s="3" customFormat="1" x14ac:dyDescent="0.25">
      <c r="A63" s="12"/>
      <c r="B63" s="582"/>
      <c r="C63" s="583"/>
      <c r="D63" s="583"/>
      <c r="E63" s="583"/>
      <c r="F63" s="583"/>
      <c r="G63" s="583"/>
      <c r="H63" s="583"/>
      <c r="I63" s="583"/>
      <c r="J63" s="583"/>
      <c r="K63" s="583"/>
      <c r="L63" s="584"/>
      <c r="M63" s="152"/>
      <c r="O63" s="154"/>
      <c r="P63" s="154"/>
    </row>
    <row r="64" spans="1:16" s="3" customFormat="1" x14ac:dyDescent="0.25">
      <c r="A64" s="12"/>
      <c r="B64" s="582"/>
      <c r="C64" s="583"/>
      <c r="D64" s="583"/>
      <c r="E64" s="583"/>
      <c r="F64" s="583"/>
      <c r="G64" s="583"/>
      <c r="H64" s="583"/>
      <c r="I64" s="583"/>
      <c r="J64" s="583"/>
      <c r="K64" s="583"/>
      <c r="L64" s="584"/>
      <c r="M64" s="152"/>
      <c r="O64" s="154"/>
      <c r="P64" s="154"/>
    </row>
    <row r="65" spans="1:16" s="3" customFormat="1" x14ac:dyDescent="0.25">
      <c r="A65" s="12"/>
      <c r="B65" s="582"/>
      <c r="C65" s="583"/>
      <c r="D65" s="583"/>
      <c r="E65" s="583"/>
      <c r="F65" s="583"/>
      <c r="G65" s="583"/>
      <c r="H65" s="583"/>
      <c r="I65" s="583"/>
      <c r="J65" s="583"/>
      <c r="K65" s="583"/>
      <c r="L65" s="584"/>
      <c r="M65" s="152"/>
      <c r="O65" s="154"/>
      <c r="P65" s="154"/>
    </row>
    <row r="66" spans="1:16" s="3" customFormat="1" x14ac:dyDescent="0.25">
      <c r="A66" s="12"/>
      <c r="B66" s="582"/>
      <c r="C66" s="583"/>
      <c r="D66" s="583"/>
      <c r="E66" s="583"/>
      <c r="F66" s="583"/>
      <c r="G66" s="583"/>
      <c r="H66" s="583"/>
      <c r="I66" s="583"/>
      <c r="J66" s="583"/>
      <c r="K66" s="583"/>
      <c r="L66" s="584"/>
      <c r="M66" s="152"/>
      <c r="O66" s="154"/>
      <c r="P66" s="154"/>
    </row>
    <row r="67" spans="1:16" s="3" customFormat="1" x14ac:dyDescent="0.25">
      <c r="A67" s="12"/>
      <c r="B67" s="582"/>
      <c r="C67" s="583"/>
      <c r="D67" s="583"/>
      <c r="E67" s="583"/>
      <c r="F67" s="583"/>
      <c r="G67" s="583"/>
      <c r="H67" s="583"/>
      <c r="I67" s="583"/>
      <c r="J67" s="583"/>
      <c r="K67" s="583"/>
      <c r="L67" s="584"/>
      <c r="M67" s="152"/>
      <c r="O67" s="154"/>
      <c r="P67" s="154"/>
    </row>
    <row r="68" spans="1:16" s="3" customFormat="1" x14ac:dyDescent="0.25">
      <c r="A68" s="12"/>
      <c r="B68" s="582"/>
      <c r="C68" s="583"/>
      <c r="D68" s="583"/>
      <c r="E68" s="583"/>
      <c r="F68" s="583"/>
      <c r="G68" s="583"/>
      <c r="H68" s="583"/>
      <c r="I68" s="583"/>
      <c r="J68" s="583"/>
      <c r="K68" s="583"/>
      <c r="L68" s="584"/>
      <c r="M68" s="152"/>
      <c r="O68" s="154"/>
      <c r="P68" s="154"/>
    </row>
    <row r="69" spans="1:16" s="152" customFormat="1" x14ac:dyDescent="0.25">
      <c r="A69" s="173"/>
      <c r="B69" s="187"/>
      <c r="C69" s="188"/>
      <c r="D69" s="188"/>
      <c r="E69" s="188"/>
      <c r="F69" s="188"/>
      <c r="G69" s="188"/>
      <c r="H69" s="188"/>
      <c r="I69" s="188"/>
      <c r="J69" s="188"/>
      <c r="K69" s="188"/>
      <c r="L69" s="186"/>
      <c r="O69" s="9"/>
      <c r="P69" s="9"/>
    </row>
    <row r="70" spans="1:16" s="3" customFormat="1" x14ac:dyDescent="0.25">
      <c r="A70" s="12"/>
      <c r="B70" s="585" t="s">
        <v>27</v>
      </c>
      <c r="C70" s="586"/>
      <c r="D70" s="586"/>
      <c r="E70" s="586"/>
      <c r="F70" s="586"/>
      <c r="G70" s="586"/>
      <c r="H70" s="586"/>
      <c r="I70" s="586"/>
      <c r="J70" s="586"/>
      <c r="K70" s="586"/>
      <c r="L70" s="587"/>
      <c r="M70" s="168"/>
      <c r="O70" s="154"/>
      <c r="P70" s="154"/>
    </row>
    <row r="71" spans="1:16" s="152" customFormat="1" x14ac:dyDescent="0.25">
      <c r="A71" s="173"/>
      <c r="B71" s="185"/>
      <c r="C71" s="174"/>
      <c r="D71" s="174"/>
      <c r="E71" s="174"/>
      <c r="F71" s="174"/>
      <c r="G71" s="174"/>
      <c r="H71" s="174"/>
      <c r="I71" s="174"/>
      <c r="J71" s="174"/>
      <c r="K71" s="174"/>
      <c r="L71" s="175"/>
      <c r="O71" s="9"/>
      <c r="P71" s="9"/>
    </row>
    <row r="72" spans="1:16" s="152" customFormat="1" x14ac:dyDescent="0.25">
      <c r="A72" s="173"/>
      <c r="B72" s="456" t="str">
        <f>IF(Intro!$G$21="English",O72,P72)</f>
        <v>Si votre entreprise est cotée en bourse, précisez quelle bourse et le symbole boursier.</v>
      </c>
      <c r="C72" s="457"/>
      <c r="D72" s="457"/>
      <c r="E72" s="457"/>
      <c r="F72" s="457"/>
      <c r="G72" s="457"/>
      <c r="H72" s="457"/>
      <c r="I72" s="457"/>
      <c r="J72" s="457"/>
      <c r="K72" s="457"/>
      <c r="L72" s="458"/>
      <c r="O72" s="9" t="s">
        <v>138</v>
      </c>
      <c r="P72" s="9" t="s">
        <v>139</v>
      </c>
    </row>
    <row r="73" spans="1:16" s="152" customFormat="1" x14ac:dyDescent="0.25">
      <c r="A73" s="173"/>
      <c r="B73" s="185"/>
      <c r="C73" s="174"/>
      <c r="D73" s="174"/>
      <c r="E73" s="174"/>
      <c r="F73" s="174"/>
      <c r="G73" s="174"/>
      <c r="H73" s="174"/>
      <c r="I73" s="174"/>
      <c r="J73" s="174"/>
      <c r="K73" s="174"/>
      <c r="L73" s="175"/>
      <c r="O73" s="9"/>
      <c r="P73" s="9"/>
    </row>
    <row r="74" spans="1:16" s="3" customFormat="1" x14ac:dyDescent="0.25">
      <c r="A74" s="12"/>
      <c r="B74" s="582"/>
      <c r="C74" s="583"/>
      <c r="D74" s="583"/>
      <c r="E74" s="583"/>
      <c r="F74" s="583"/>
      <c r="G74" s="583"/>
      <c r="H74" s="583"/>
      <c r="I74" s="583"/>
      <c r="J74" s="583"/>
      <c r="K74" s="583"/>
      <c r="L74" s="584"/>
      <c r="M74" s="152"/>
      <c r="O74" s="154"/>
      <c r="P74" s="154"/>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s="3" customFormat="1" x14ac:dyDescent="0.25">
      <c r="A78" s="12"/>
      <c r="B78" s="582"/>
      <c r="C78" s="583"/>
      <c r="D78" s="583"/>
      <c r="E78" s="583"/>
      <c r="F78" s="583"/>
      <c r="G78" s="583"/>
      <c r="H78" s="583"/>
      <c r="I78" s="583"/>
      <c r="J78" s="583"/>
      <c r="K78" s="583"/>
      <c r="L78" s="584"/>
      <c r="M78" s="152"/>
      <c r="O78" s="154"/>
      <c r="P78" s="154"/>
    </row>
    <row r="79" spans="1:16" s="3" customFormat="1" x14ac:dyDescent="0.25">
      <c r="A79" s="12"/>
      <c r="B79" s="582"/>
      <c r="C79" s="583"/>
      <c r="D79" s="583"/>
      <c r="E79" s="583"/>
      <c r="F79" s="583"/>
      <c r="G79" s="583"/>
      <c r="H79" s="583"/>
      <c r="I79" s="583"/>
      <c r="J79" s="583"/>
      <c r="K79" s="583"/>
      <c r="L79" s="584"/>
      <c r="M79" s="152"/>
      <c r="O79" s="154"/>
      <c r="P79" s="154"/>
    </row>
    <row r="80" spans="1:16" s="3" customFormat="1" x14ac:dyDescent="0.25">
      <c r="A80" s="12"/>
      <c r="B80" s="582"/>
      <c r="C80" s="583"/>
      <c r="D80" s="583"/>
      <c r="E80" s="583"/>
      <c r="F80" s="583"/>
      <c r="G80" s="583"/>
      <c r="H80" s="583"/>
      <c r="I80" s="583"/>
      <c r="J80" s="583"/>
      <c r="K80" s="583"/>
      <c r="L80" s="584"/>
      <c r="M80" s="152"/>
      <c r="O80" s="154"/>
      <c r="P80" s="154"/>
    </row>
    <row r="81" spans="1:16" s="3" customFormat="1" x14ac:dyDescent="0.25">
      <c r="A81" s="12"/>
      <c r="B81" s="582"/>
      <c r="C81" s="583"/>
      <c r="D81" s="583"/>
      <c r="E81" s="583"/>
      <c r="F81" s="583"/>
      <c r="G81" s="583"/>
      <c r="H81" s="583"/>
      <c r="I81" s="583"/>
      <c r="J81" s="583"/>
      <c r="K81" s="583"/>
      <c r="L81" s="584"/>
      <c r="M81" s="152"/>
      <c r="O81" s="154"/>
      <c r="P81" s="154"/>
    </row>
    <row r="82" spans="1:16" s="152" customFormat="1" x14ac:dyDescent="0.25">
      <c r="A82" s="173"/>
      <c r="B82" s="187"/>
      <c r="C82" s="188"/>
      <c r="D82" s="188"/>
      <c r="E82" s="188"/>
      <c r="F82" s="188"/>
      <c r="G82" s="188"/>
      <c r="H82" s="188"/>
      <c r="I82" s="188"/>
      <c r="J82" s="188"/>
      <c r="K82" s="188"/>
      <c r="L82" s="186"/>
      <c r="O82" s="9"/>
      <c r="P82" s="9"/>
    </row>
    <row r="83" spans="1:16" s="3" customFormat="1" x14ac:dyDescent="0.25">
      <c r="A83" s="12"/>
      <c r="B83" s="585" t="s">
        <v>28</v>
      </c>
      <c r="C83" s="586"/>
      <c r="D83" s="586"/>
      <c r="E83" s="586"/>
      <c r="F83" s="586"/>
      <c r="G83" s="586"/>
      <c r="H83" s="586"/>
      <c r="I83" s="586"/>
      <c r="J83" s="586"/>
      <c r="K83" s="586"/>
      <c r="L83" s="587"/>
      <c r="M83" s="168"/>
      <c r="O83" s="154"/>
      <c r="P83" s="154"/>
    </row>
    <row r="84" spans="1:16" s="152" customFormat="1" x14ac:dyDescent="0.25">
      <c r="A84" s="173"/>
      <c r="B84" s="185"/>
      <c r="C84" s="174"/>
      <c r="D84" s="174"/>
      <c r="E84" s="174"/>
      <c r="F84" s="174"/>
      <c r="G84" s="174"/>
      <c r="H84" s="174"/>
      <c r="I84" s="174"/>
      <c r="J84" s="174"/>
      <c r="K84" s="174"/>
      <c r="L84" s="175"/>
      <c r="O84" s="9"/>
      <c r="P84" s="9"/>
    </row>
    <row r="85" spans="1:16" s="152" customFormat="1" x14ac:dyDescent="0.25">
      <c r="A85" s="173"/>
      <c r="B85" s="579" t="str">
        <f>IF(Intro!$G$21="English",O85,P85)</f>
        <v>Votre entreprise a-t-elle publié des rapports annuel à l’intention de ses actionnaires pour chaque année depuis le 1er janvier 2023?</v>
      </c>
      <c r="C85" s="580"/>
      <c r="D85" s="580"/>
      <c r="E85" s="580"/>
      <c r="F85" s="580"/>
      <c r="G85" s="580"/>
      <c r="H85" s="580"/>
      <c r="I85" s="580"/>
      <c r="J85" s="580"/>
      <c r="K85" s="580"/>
      <c r="L85" s="581"/>
      <c r="O85" s="9" t="str">
        <f>"Did your firm publish annual reports to shareholders for each year since January 1, "&amp;Variables!B6&amp;"?"</f>
        <v>Did your firm publish annual reports to shareholders for each year since January 1, 2023?</v>
      </c>
      <c r="P85" s="9"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6" spans="1:16" x14ac:dyDescent="0.25">
      <c r="B86" s="579"/>
      <c r="C86" s="580"/>
      <c r="D86" s="580"/>
      <c r="E86" s="580"/>
      <c r="F86" s="580"/>
      <c r="G86" s="580"/>
      <c r="H86" s="580"/>
      <c r="I86" s="580"/>
      <c r="J86" s="580"/>
      <c r="K86" s="580"/>
      <c r="L86" s="581"/>
      <c r="M86" s="2"/>
      <c r="O86" s="2"/>
      <c r="P86" s="2"/>
    </row>
    <row r="87" spans="1:16" x14ac:dyDescent="0.25">
      <c r="B87" s="618" t="str">
        <f>IF(Intro!$G$21="English",O87,P87)</f>
        <v>Sélectionnez oui ou non</v>
      </c>
      <c r="C87" s="619"/>
      <c r="D87" s="302"/>
      <c r="E87" s="151"/>
      <c r="F87" s="151"/>
      <c r="G87" s="151"/>
      <c r="H87" s="151"/>
      <c r="I87" s="151"/>
      <c r="J87" s="151"/>
      <c r="K87" s="151"/>
      <c r="L87" s="162"/>
      <c r="M87" s="2"/>
      <c r="O87" s="2" t="s">
        <v>362</v>
      </c>
      <c r="P87" s="2" t="s">
        <v>679</v>
      </c>
    </row>
    <row r="88" spans="1:16" x14ac:dyDescent="0.25">
      <c r="B88" s="164"/>
      <c r="C88" s="2"/>
      <c r="D88" s="151"/>
      <c r="E88" s="151"/>
      <c r="F88" s="151"/>
      <c r="G88" s="151"/>
      <c r="H88" s="151"/>
      <c r="I88" s="151"/>
      <c r="J88" s="151"/>
      <c r="K88" s="151"/>
      <c r="L88" s="162"/>
      <c r="M88" s="2"/>
      <c r="O88" s="11"/>
      <c r="P88" s="2"/>
    </row>
    <row r="89" spans="1:16" s="152" customFormat="1" x14ac:dyDescent="0.25">
      <c r="A89" s="173"/>
      <c r="B89" s="579" t="str">
        <f>IF(Intro!$G$21="English",O89,P89)</f>
        <v>Si oui, fournissez des copies électroniques pour chaque année depuis le 1er janvier 2023. Si non, expliquez.</v>
      </c>
      <c r="C89" s="580"/>
      <c r="D89" s="580"/>
      <c r="E89" s="580"/>
      <c r="F89" s="580"/>
      <c r="G89" s="580"/>
      <c r="H89" s="580"/>
      <c r="I89" s="580"/>
      <c r="J89" s="580"/>
      <c r="K89" s="580"/>
      <c r="L89" s="581"/>
      <c r="O89" s="9" t="str">
        <f>"If yes, please provide copies of the annual report for each year since January 1, "&amp;Variables!B6&amp;". If no, please explain."</f>
        <v>If yes, please provide copies of the annual report for each year since January 1, 2023. If no, please explain.</v>
      </c>
      <c r="P89" s="9" t="str">
        <f>"Si oui, fournissez des copies électroniques pour chaque année depuis le 1er janvier "&amp;Variables!C6&amp;". Si non, expliquez."</f>
        <v>Si oui, fournissez des copies électroniques pour chaque année depuis le 1er janvier 2023. Si non, expliquez.</v>
      </c>
    </row>
    <row r="90" spans="1:16" s="3" customFormat="1" x14ac:dyDescent="0.25">
      <c r="A90" s="12"/>
      <c r="B90" s="582"/>
      <c r="C90" s="583"/>
      <c r="D90" s="583"/>
      <c r="E90" s="583"/>
      <c r="F90" s="583"/>
      <c r="G90" s="583"/>
      <c r="H90" s="583"/>
      <c r="I90" s="583"/>
      <c r="J90" s="583"/>
      <c r="K90" s="583"/>
      <c r="L90" s="584"/>
      <c r="M90" s="152"/>
      <c r="O90" s="154"/>
      <c r="P90" s="154"/>
    </row>
    <row r="91" spans="1:16" s="3" customFormat="1" ht="24.75" customHeight="1" x14ac:dyDescent="0.25">
      <c r="A91" s="12"/>
      <c r="B91" s="582"/>
      <c r="C91" s="583"/>
      <c r="D91" s="583"/>
      <c r="E91" s="583"/>
      <c r="F91" s="583"/>
      <c r="G91" s="583"/>
      <c r="H91" s="583"/>
      <c r="I91" s="583"/>
      <c r="J91" s="583"/>
      <c r="K91" s="583"/>
      <c r="L91" s="584"/>
      <c r="M91" s="152"/>
      <c r="O91" s="154"/>
      <c r="P91" s="154"/>
    </row>
    <row r="92" spans="1:16" s="3" customFormat="1" ht="26.25" customHeight="1" x14ac:dyDescent="0.25">
      <c r="A92" s="12"/>
      <c r="B92" s="582"/>
      <c r="C92" s="583"/>
      <c r="D92" s="583"/>
      <c r="E92" s="583"/>
      <c r="F92" s="583"/>
      <c r="G92" s="583"/>
      <c r="H92" s="583"/>
      <c r="I92" s="583"/>
      <c r="J92" s="583"/>
      <c r="K92" s="583"/>
      <c r="L92" s="584"/>
      <c r="M92" s="152"/>
      <c r="O92" s="154"/>
      <c r="P92" s="154"/>
    </row>
    <row r="93" spans="1:16" s="3" customFormat="1" ht="36" customHeight="1" x14ac:dyDescent="0.25">
      <c r="A93" s="12"/>
      <c r="B93" s="582"/>
      <c r="C93" s="583"/>
      <c r="D93" s="583"/>
      <c r="E93" s="583"/>
      <c r="F93" s="583"/>
      <c r="G93" s="583"/>
      <c r="H93" s="583"/>
      <c r="I93" s="583"/>
      <c r="J93" s="583"/>
      <c r="K93" s="583"/>
      <c r="L93" s="584"/>
      <c r="M93" s="152"/>
      <c r="O93" s="154"/>
      <c r="P93" s="154"/>
    </row>
    <row r="94" spans="1:16" s="152" customFormat="1" x14ac:dyDescent="0.25">
      <c r="A94" s="173"/>
      <c r="B94" s="187"/>
      <c r="C94" s="188"/>
      <c r="D94" s="188"/>
      <c r="E94" s="188"/>
      <c r="F94" s="188"/>
      <c r="G94" s="188"/>
      <c r="H94" s="188"/>
      <c r="I94" s="188"/>
      <c r="J94" s="188"/>
      <c r="K94" s="188"/>
      <c r="L94" s="186"/>
      <c r="O94" s="9"/>
      <c r="P94" s="9"/>
    </row>
    <row r="95" spans="1:16" s="9" customFormat="1" x14ac:dyDescent="0.25">
      <c r="A95" s="13"/>
      <c r="B95" s="22"/>
      <c r="C95" s="22"/>
      <c r="D95" s="22"/>
      <c r="E95" s="23"/>
      <c r="F95" s="23"/>
      <c r="G95" s="23"/>
      <c r="H95" s="23"/>
      <c r="I95" s="23"/>
      <c r="J95" s="23"/>
      <c r="K95" s="23"/>
      <c r="L95" s="23"/>
      <c r="O95" s="10"/>
      <c r="P95" s="10"/>
    </row>
    <row r="96" spans="1:16" x14ac:dyDescent="0.25">
      <c r="B96" s="453" t="str">
        <f>IF(Intro!$G$21="English",O96,P96)</f>
        <v>PRODUCTION ET CAPACITÉ</v>
      </c>
      <c r="C96" s="454"/>
      <c r="D96" s="454"/>
      <c r="E96" s="454"/>
      <c r="F96" s="454"/>
      <c r="G96" s="454"/>
      <c r="H96" s="454"/>
      <c r="I96" s="454"/>
      <c r="J96" s="454"/>
      <c r="K96" s="454"/>
      <c r="L96" s="455"/>
      <c r="M96" s="152"/>
      <c r="O96" s="199" t="s">
        <v>649</v>
      </c>
      <c r="P96" s="199" t="s">
        <v>650</v>
      </c>
    </row>
    <row r="97" spans="1:16" s="3" customFormat="1" x14ac:dyDescent="0.25">
      <c r="A97" s="12"/>
      <c r="B97" s="585" t="s">
        <v>30</v>
      </c>
      <c r="C97" s="586"/>
      <c r="D97" s="586"/>
      <c r="E97" s="586"/>
      <c r="F97" s="586"/>
      <c r="G97" s="586"/>
      <c r="H97" s="586"/>
      <c r="I97" s="586"/>
      <c r="J97" s="586"/>
      <c r="K97" s="586"/>
      <c r="L97" s="587"/>
      <c r="M97" s="168"/>
      <c r="O97" s="154"/>
      <c r="P97" s="154"/>
    </row>
    <row r="98" spans="1:16" s="152" customFormat="1" x14ac:dyDescent="0.25">
      <c r="A98" s="173"/>
      <c r="B98" s="185"/>
      <c r="C98" s="174"/>
      <c r="D98" s="174"/>
      <c r="E98" s="174"/>
      <c r="F98" s="174"/>
      <c r="G98" s="174"/>
      <c r="H98" s="174"/>
      <c r="I98" s="174"/>
      <c r="J98" s="174"/>
      <c r="K98" s="174"/>
      <c r="L98" s="175"/>
      <c r="O98" s="9"/>
      <c r="P98" s="9"/>
    </row>
    <row r="99" spans="1:16" s="152" customFormat="1" x14ac:dyDescent="0.25">
      <c r="A99" s="173"/>
      <c r="B99" s="579" t="str">
        <f>IF(Intro!$G$21="English",O99,P99)</f>
        <v>Fournissez les renseignements suivants associés à la production canadienne de tous les produits de votre entreprise.</v>
      </c>
      <c r="C99" s="580"/>
      <c r="D99" s="580"/>
      <c r="E99" s="580"/>
      <c r="F99" s="580"/>
      <c r="G99" s="580"/>
      <c r="H99" s="580"/>
      <c r="I99" s="580"/>
      <c r="J99" s="580"/>
      <c r="K99" s="580"/>
      <c r="L99" s="581"/>
      <c r="O99" s="9" t="s">
        <v>289</v>
      </c>
      <c r="P99" s="9" t="s">
        <v>290</v>
      </c>
    </row>
    <row r="100" spans="1:16" s="152" customFormat="1" x14ac:dyDescent="0.25">
      <c r="A100" s="173"/>
      <c r="B100" s="185"/>
      <c r="C100" s="174"/>
      <c r="D100" s="174"/>
      <c r="E100" s="174"/>
      <c r="F100" s="174"/>
      <c r="G100" s="174"/>
      <c r="H100" s="174"/>
      <c r="I100" s="174"/>
      <c r="J100" s="174"/>
      <c r="K100" s="174"/>
      <c r="L100" s="175"/>
    </row>
    <row r="101" spans="1:16" x14ac:dyDescent="0.25">
      <c r="B101" s="221"/>
      <c r="C101" s="616" t="str">
        <f>IF(Intro!$G$21="English",O101,P101)</f>
        <v xml:space="preserve">Dénomination sociale et emplacement de l'établissement </v>
      </c>
      <c r="D101" s="616"/>
      <c r="E101" s="616" t="str">
        <f>IF(Intro!$G$21="English",O102,P102)</f>
        <v>Expliquez si cette installation produit les marchandises destinées au marché canadien et/ou au marché d'exportation</v>
      </c>
      <c r="F101" s="616"/>
      <c r="G101" s="616" t="str">
        <f>IF(Intro!$G$21="English",O103,P103)</f>
        <v>Description et spécifications des marchandises produites</v>
      </c>
      <c r="H101" s="616"/>
      <c r="I101" s="616" t="str">
        <f>IF(Intro!$G$21="English",O104,P104)</f>
        <v>Si cette installation ne produit pas les marchandises, quelles modifications seraient nécessaires pour pouvoir produire les marchandises?</v>
      </c>
      <c r="J101" s="616"/>
      <c r="K101" s="616" t="str">
        <f>IF(Intro!$G$21="English",O105,P105)</f>
        <v>Quels autres produits, le cas échéant, pourraient être fabriqués à l’aide du même outillage utilisé pour la production des marchandises?</v>
      </c>
      <c r="L101" s="617"/>
      <c r="M101" s="2"/>
      <c r="O101" s="9" t="s">
        <v>29</v>
      </c>
      <c r="P101" s="9" t="s">
        <v>140</v>
      </c>
    </row>
    <row r="102" spans="1:16" x14ac:dyDescent="0.25">
      <c r="B102" s="221"/>
      <c r="C102" s="616"/>
      <c r="D102" s="616"/>
      <c r="E102" s="616"/>
      <c r="F102" s="616"/>
      <c r="G102" s="616"/>
      <c r="H102" s="616"/>
      <c r="I102" s="616"/>
      <c r="J102" s="616"/>
      <c r="K102" s="616"/>
      <c r="L102" s="617"/>
      <c r="M102" s="2"/>
      <c r="O102" s="9" t="s">
        <v>594</v>
      </c>
      <c r="P102" s="9" t="s">
        <v>593</v>
      </c>
    </row>
    <row r="103" spans="1:16" x14ac:dyDescent="0.25">
      <c r="B103" s="221"/>
      <c r="C103" s="616"/>
      <c r="D103" s="616"/>
      <c r="E103" s="616"/>
      <c r="F103" s="616"/>
      <c r="G103" s="616"/>
      <c r="H103" s="616"/>
      <c r="I103" s="616"/>
      <c r="J103" s="616"/>
      <c r="K103" s="616"/>
      <c r="L103" s="617"/>
      <c r="M103" s="2"/>
      <c r="O103" s="9" t="s">
        <v>342</v>
      </c>
      <c r="P103" s="9" t="s">
        <v>343</v>
      </c>
    </row>
    <row r="104" spans="1:16" x14ac:dyDescent="0.25">
      <c r="B104" s="221"/>
      <c r="C104" s="616"/>
      <c r="D104" s="616"/>
      <c r="E104" s="616"/>
      <c r="F104" s="616"/>
      <c r="G104" s="616"/>
      <c r="H104" s="616"/>
      <c r="I104" s="616"/>
      <c r="J104" s="616"/>
      <c r="K104" s="616"/>
      <c r="L104" s="617"/>
      <c r="M104" s="2"/>
      <c r="O104" s="9" t="s">
        <v>345</v>
      </c>
      <c r="P104" s="9" t="s">
        <v>344</v>
      </c>
    </row>
    <row r="105" spans="1:16" x14ac:dyDescent="0.25">
      <c r="B105" s="221"/>
      <c r="C105" s="616"/>
      <c r="D105" s="616"/>
      <c r="E105" s="616"/>
      <c r="F105" s="616"/>
      <c r="G105" s="616"/>
      <c r="H105" s="616"/>
      <c r="I105" s="616"/>
      <c r="J105" s="616"/>
      <c r="K105" s="616"/>
      <c r="L105" s="617"/>
      <c r="M105" s="2"/>
      <c r="O105" s="9" t="s">
        <v>32</v>
      </c>
      <c r="P105" s="9" t="s">
        <v>113</v>
      </c>
    </row>
    <row r="106" spans="1:16" x14ac:dyDescent="0.25">
      <c r="B106" s="221"/>
      <c r="C106" s="616"/>
      <c r="D106" s="616"/>
      <c r="E106" s="616"/>
      <c r="F106" s="616"/>
      <c r="G106" s="616"/>
      <c r="H106" s="616"/>
      <c r="I106" s="616"/>
      <c r="J106" s="616"/>
      <c r="K106" s="616"/>
      <c r="L106" s="617"/>
      <c r="M106" s="2"/>
    </row>
    <row r="107" spans="1:16" x14ac:dyDescent="0.25">
      <c r="B107" s="604">
        <v>1</v>
      </c>
      <c r="C107" s="613"/>
      <c r="D107" s="502"/>
      <c r="E107" s="502"/>
      <c r="F107" s="502"/>
      <c r="G107" s="502"/>
      <c r="H107" s="502"/>
      <c r="I107" s="502"/>
      <c r="J107" s="502"/>
      <c r="K107" s="502"/>
      <c r="L107" s="503"/>
      <c r="M107" s="2"/>
      <c r="O107" s="2"/>
      <c r="P107" s="2"/>
    </row>
    <row r="108" spans="1:16" x14ac:dyDescent="0.25">
      <c r="B108" s="604"/>
      <c r="C108" s="613"/>
      <c r="D108" s="502"/>
      <c r="E108" s="502"/>
      <c r="F108" s="502"/>
      <c r="G108" s="502"/>
      <c r="H108" s="502"/>
      <c r="I108" s="502"/>
      <c r="J108" s="502"/>
      <c r="K108" s="502"/>
      <c r="L108" s="503"/>
      <c r="M108" s="2"/>
      <c r="O108" s="2"/>
      <c r="P108" s="2"/>
    </row>
    <row r="109" spans="1:16" x14ac:dyDescent="0.25">
      <c r="B109" s="604"/>
      <c r="C109" s="613"/>
      <c r="D109" s="502"/>
      <c r="E109" s="502"/>
      <c r="F109" s="502"/>
      <c r="G109" s="502"/>
      <c r="H109" s="502"/>
      <c r="I109" s="502"/>
      <c r="J109" s="502"/>
      <c r="K109" s="502"/>
      <c r="L109" s="503"/>
      <c r="M109" s="2"/>
      <c r="O109" s="2"/>
      <c r="P109" s="2"/>
    </row>
    <row r="110" spans="1:16" x14ac:dyDescent="0.25">
      <c r="B110" s="604"/>
      <c r="C110" s="613"/>
      <c r="D110" s="502"/>
      <c r="E110" s="502"/>
      <c r="F110" s="502"/>
      <c r="G110" s="502"/>
      <c r="H110" s="502"/>
      <c r="I110" s="502"/>
      <c r="J110" s="502"/>
      <c r="K110" s="502"/>
      <c r="L110" s="503"/>
      <c r="M110" s="2"/>
      <c r="O110" s="2"/>
      <c r="P110" s="2"/>
    </row>
    <row r="111" spans="1:16" x14ac:dyDescent="0.25">
      <c r="B111" s="604"/>
      <c r="C111" s="613"/>
      <c r="D111" s="502"/>
      <c r="E111" s="502"/>
      <c r="F111" s="502"/>
      <c r="G111" s="502"/>
      <c r="H111" s="502"/>
      <c r="I111" s="502"/>
      <c r="J111" s="502"/>
      <c r="K111" s="502"/>
      <c r="L111" s="503"/>
      <c r="M111" s="2"/>
      <c r="O111" s="2"/>
      <c r="P111" s="2"/>
    </row>
    <row r="112" spans="1:16" x14ac:dyDescent="0.25">
      <c r="B112" s="604"/>
      <c r="C112" s="613"/>
      <c r="D112" s="502"/>
      <c r="E112" s="502"/>
      <c r="F112" s="502"/>
      <c r="G112" s="502"/>
      <c r="H112" s="502"/>
      <c r="I112" s="502"/>
      <c r="J112" s="502"/>
      <c r="K112" s="502"/>
      <c r="L112" s="503"/>
      <c r="M112" s="2"/>
      <c r="O112" s="2"/>
      <c r="P112" s="2"/>
    </row>
    <row r="113" spans="1:12" s="2" customFormat="1" x14ac:dyDescent="0.25">
      <c r="A113" s="12"/>
      <c r="B113" s="604"/>
      <c r="C113" s="613"/>
      <c r="D113" s="502"/>
      <c r="E113" s="502"/>
      <c r="F113" s="502"/>
      <c r="G113" s="502"/>
      <c r="H113" s="502"/>
      <c r="I113" s="502"/>
      <c r="J113" s="502"/>
      <c r="K113" s="502"/>
      <c r="L113" s="503"/>
    </row>
    <row r="114" spans="1:12" s="2" customFormat="1" x14ac:dyDescent="0.25">
      <c r="A114" s="12"/>
      <c r="B114" s="604"/>
      <c r="C114" s="613"/>
      <c r="D114" s="502"/>
      <c r="E114" s="502"/>
      <c r="F114" s="502"/>
      <c r="G114" s="502"/>
      <c r="H114" s="502"/>
      <c r="I114" s="502"/>
      <c r="J114" s="502"/>
      <c r="K114" s="502"/>
      <c r="L114" s="503"/>
    </row>
    <row r="115" spans="1:12" s="2" customFormat="1" x14ac:dyDescent="0.25">
      <c r="A115" s="12"/>
      <c r="B115" s="604"/>
      <c r="C115" s="613"/>
      <c r="D115" s="502"/>
      <c r="E115" s="502"/>
      <c r="F115" s="502"/>
      <c r="G115" s="502"/>
      <c r="H115" s="502"/>
      <c r="I115" s="502"/>
      <c r="J115" s="502"/>
      <c r="K115" s="502"/>
      <c r="L115" s="503"/>
    </row>
    <row r="116" spans="1:12" s="2" customFormat="1" x14ac:dyDescent="0.25">
      <c r="A116" s="12"/>
      <c r="B116" s="604"/>
      <c r="C116" s="613"/>
      <c r="D116" s="502"/>
      <c r="E116" s="502"/>
      <c r="F116" s="502"/>
      <c r="G116" s="502"/>
      <c r="H116" s="502"/>
      <c r="I116" s="502"/>
      <c r="J116" s="502"/>
      <c r="K116" s="502"/>
      <c r="L116" s="503"/>
    </row>
    <row r="117" spans="1:12" s="2" customFormat="1" x14ac:dyDescent="0.25">
      <c r="A117" s="12"/>
      <c r="B117" s="604">
        <v>2</v>
      </c>
      <c r="C117" s="613"/>
      <c r="D117" s="502"/>
      <c r="E117" s="502"/>
      <c r="F117" s="502"/>
      <c r="G117" s="502"/>
      <c r="H117" s="502"/>
      <c r="I117" s="502"/>
      <c r="J117" s="502"/>
      <c r="K117" s="502"/>
      <c r="L117" s="503"/>
    </row>
    <row r="118" spans="1:12" s="2" customFormat="1" x14ac:dyDescent="0.25">
      <c r="A118" s="12"/>
      <c r="B118" s="604"/>
      <c r="C118" s="613"/>
      <c r="D118" s="502"/>
      <c r="E118" s="502"/>
      <c r="F118" s="502"/>
      <c r="G118" s="502"/>
      <c r="H118" s="502"/>
      <c r="I118" s="502"/>
      <c r="J118" s="502"/>
      <c r="K118" s="502"/>
      <c r="L118" s="503"/>
    </row>
    <row r="119" spans="1:12" s="2" customFormat="1" x14ac:dyDescent="0.25">
      <c r="A119" s="12"/>
      <c r="B119" s="604"/>
      <c r="C119" s="613"/>
      <c r="D119" s="502"/>
      <c r="E119" s="502"/>
      <c r="F119" s="502"/>
      <c r="G119" s="502"/>
      <c r="H119" s="502"/>
      <c r="I119" s="502"/>
      <c r="J119" s="502"/>
      <c r="K119" s="502"/>
      <c r="L119" s="503"/>
    </row>
    <row r="120" spans="1:12" s="2" customFormat="1" x14ac:dyDescent="0.25">
      <c r="A120" s="12"/>
      <c r="B120" s="604"/>
      <c r="C120" s="613"/>
      <c r="D120" s="502"/>
      <c r="E120" s="502"/>
      <c r="F120" s="502"/>
      <c r="G120" s="502"/>
      <c r="H120" s="502"/>
      <c r="I120" s="502"/>
      <c r="J120" s="502"/>
      <c r="K120" s="502"/>
      <c r="L120" s="503"/>
    </row>
    <row r="121" spans="1:12" s="2" customFormat="1" x14ac:dyDescent="0.25">
      <c r="A121" s="12"/>
      <c r="B121" s="604"/>
      <c r="C121" s="613"/>
      <c r="D121" s="502"/>
      <c r="E121" s="502"/>
      <c r="F121" s="502"/>
      <c r="G121" s="502"/>
      <c r="H121" s="502"/>
      <c r="I121" s="502"/>
      <c r="J121" s="502"/>
      <c r="K121" s="502"/>
      <c r="L121" s="503"/>
    </row>
    <row r="122" spans="1:12" s="2" customFormat="1" x14ac:dyDescent="0.25">
      <c r="A122" s="12"/>
      <c r="B122" s="604"/>
      <c r="C122" s="613"/>
      <c r="D122" s="502"/>
      <c r="E122" s="502"/>
      <c r="F122" s="502"/>
      <c r="G122" s="502"/>
      <c r="H122" s="502"/>
      <c r="I122" s="502"/>
      <c r="J122" s="502"/>
      <c r="K122" s="502"/>
      <c r="L122" s="503"/>
    </row>
    <row r="123" spans="1:12" s="2" customFormat="1" x14ac:dyDescent="0.25">
      <c r="A123" s="12"/>
      <c r="B123" s="604"/>
      <c r="C123" s="613"/>
      <c r="D123" s="502"/>
      <c r="E123" s="502"/>
      <c r="F123" s="502"/>
      <c r="G123" s="502"/>
      <c r="H123" s="502"/>
      <c r="I123" s="502"/>
      <c r="J123" s="502"/>
      <c r="K123" s="502"/>
      <c r="L123" s="503"/>
    </row>
    <row r="124" spans="1:12" s="2" customFormat="1" x14ac:dyDescent="0.25">
      <c r="A124" s="12"/>
      <c r="B124" s="604"/>
      <c r="C124" s="613"/>
      <c r="D124" s="502"/>
      <c r="E124" s="502"/>
      <c r="F124" s="502"/>
      <c r="G124" s="502"/>
      <c r="H124" s="502"/>
      <c r="I124" s="502"/>
      <c r="J124" s="502"/>
      <c r="K124" s="502"/>
      <c r="L124" s="503"/>
    </row>
    <row r="125" spans="1:12" s="2" customFormat="1" x14ac:dyDescent="0.25">
      <c r="A125" s="12"/>
      <c r="B125" s="604"/>
      <c r="C125" s="613"/>
      <c r="D125" s="502"/>
      <c r="E125" s="502"/>
      <c r="F125" s="502"/>
      <c r="G125" s="502"/>
      <c r="H125" s="502"/>
      <c r="I125" s="502"/>
      <c r="J125" s="502"/>
      <c r="K125" s="502"/>
      <c r="L125" s="503"/>
    </row>
    <row r="126" spans="1:12" s="2" customFormat="1" x14ac:dyDescent="0.25">
      <c r="A126" s="12"/>
      <c r="B126" s="604"/>
      <c r="C126" s="613"/>
      <c r="D126" s="502"/>
      <c r="E126" s="502"/>
      <c r="F126" s="502"/>
      <c r="G126" s="502"/>
      <c r="H126" s="502"/>
      <c r="I126" s="502"/>
      <c r="J126" s="502"/>
      <c r="K126" s="502"/>
      <c r="L126" s="503"/>
    </row>
    <row r="127" spans="1:12" s="2" customFormat="1" x14ac:dyDescent="0.25">
      <c r="A127" s="12"/>
      <c r="B127" s="604">
        <v>3</v>
      </c>
      <c r="C127" s="613"/>
      <c r="D127" s="502"/>
      <c r="E127" s="502"/>
      <c r="F127" s="502"/>
      <c r="G127" s="502"/>
      <c r="H127" s="502"/>
      <c r="I127" s="502"/>
      <c r="J127" s="502"/>
      <c r="K127" s="502"/>
      <c r="L127" s="503"/>
    </row>
    <row r="128" spans="1:12" s="2" customFormat="1" x14ac:dyDescent="0.25">
      <c r="A128" s="12"/>
      <c r="B128" s="604"/>
      <c r="C128" s="613"/>
      <c r="D128" s="502"/>
      <c r="E128" s="502"/>
      <c r="F128" s="502"/>
      <c r="G128" s="502"/>
      <c r="H128" s="502"/>
      <c r="I128" s="502"/>
      <c r="J128" s="502"/>
      <c r="K128" s="502"/>
      <c r="L128" s="503"/>
    </row>
    <row r="129" spans="1:12" s="2" customFormat="1" x14ac:dyDescent="0.25">
      <c r="A129" s="12"/>
      <c r="B129" s="604"/>
      <c r="C129" s="613"/>
      <c r="D129" s="502"/>
      <c r="E129" s="502"/>
      <c r="F129" s="502"/>
      <c r="G129" s="502"/>
      <c r="H129" s="502"/>
      <c r="I129" s="502"/>
      <c r="J129" s="502"/>
      <c r="K129" s="502"/>
      <c r="L129" s="503"/>
    </row>
    <row r="130" spans="1:12" s="2" customFormat="1" x14ac:dyDescent="0.25">
      <c r="A130" s="12"/>
      <c r="B130" s="604"/>
      <c r="C130" s="613"/>
      <c r="D130" s="502"/>
      <c r="E130" s="502"/>
      <c r="F130" s="502"/>
      <c r="G130" s="502"/>
      <c r="H130" s="502"/>
      <c r="I130" s="502"/>
      <c r="J130" s="502"/>
      <c r="K130" s="502"/>
      <c r="L130" s="503"/>
    </row>
    <row r="131" spans="1:12" s="2" customFormat="1" x14ac:dyDescent="0.25">
      <c r="A131" s="12"/>
      <c r="B131" s="604"/>
      <c r="C131" s="613"/>
      <c r="D131" s="502"/>
      <c r="E131" s="502"/>
      <c r="F131" s="502"/>
      <c r="G131" s="502"/>
      <c r="H131" s="502"/>
      <c r="I131" s="502"/>
      <c r="J131" s="502"/>
      <c r="K131" s="502"/>
      <c r="L131" s="503"/>
    </row>
    <row r="132" spans="1:12" s="2" customFormat="1" x14ac:dyDescent="0.25">
      <c r="A132" s="12"/>
      <c r="B132" s="604"/>
      <c r="C132" s="613"/>
      <c r="D132" s="502"/>
      <c r="E132" s="502"/>
      <c r="F132" s="502"/>
      <c r="G132" s="502"/>
      <c r="H132" s="502"/>
      <c r="I132" s="502"/>
      <c r="J132" s="502"/>
      <c r="K132" s="502"/>
      <c r="L132" s="503"/>
    </row>
    <row r="133" spans="1:12" s="2" customFormat="1" x14ac:dyDescent="0.25">
      <c r="A133" s="12"/>
      <c r="B133" s="604"/>
      <c r="C133" s="613"/>
      <c r="D133" s="502"/>
      <c r="E133" s="502"/>
      <c r="F133" s="502"/>
      <c r="G133" s="502"/>
      <c r="H133" s="502"/>
      <c r="I133" s="502"/>
      <c r="J133" s="502"/>
      <c r="K133" s="502"/>
      <c r="L133" s="503"/>
    </row>
    <row r="134" spans="1:12" s="2" customFormat="1" x14ac:dyDescent="0.25">
      <c r="A134" s="12"/>
      <c r="B134" s="604"/>
      <c r="C134" s="613"/>
      <c r="D134" s="502"/>
      <c r="E134" s="502"/>
      <c r="F134" s="502"/>
      <c r="G134" s="502"/>
      <c r="H134" s="502"/>
      <c r="I134" s="502"/>
      <c r="J134" s="502"/>
      <c r="K134" s="502"/>
      <c r="L134" s="503"/>
    </row>
    <row r="135" spans="1:12" s="2" customFormat="1" x14ac:dyDescent="0.25">
      <c r="A135" s="12"/>
      <c r="B135" s="604"/>
      <c r="C135" s="613"/>
      <c r="D135" s="502"/>
      <c r="E135" s="502"/>
      <c r="F135" s="502"/>
      <c r="G135" s="502"/>
      <c r="H135" s="502"/>
      <c r="I135" s="502"/>
      <c r="J135" s="502"/>
      <c r="K135" s="502"/>
      <c r="L135" s="503"/>
    </row>
    <row r="136" spans="1:12" s="2" customFormat="1" x14ac:dyDescent="0.25">
      <c r="A136" s="12"/>
      <c r="B136" s="604"/>
      <c r="C136" s="613"/>
      <c r="D136" s="502"/>
      <c r="E136" s="502"/>
      <c r="F136" s="502"/>
      <c r="G136" s="502"/>
      <c r="H136" s="502"/>
      <c r="I136" s="502"/>
      <c r="J136" s="502"/>
      <c r="K136" s="502"/>
      <c r="L136" s="503"/>
    </row>
    <row r="137" spans="1:12" s="2" customFormat="1" x14ac:dyDescent="0.25">
      <c r="A137" s="12"/>
      <c r="B137" s="604">
        <v>4</v>
      </c>
      <c r="C137" s="613"/>
      <c r="D137" s="502"/>
      <c r="E137" s="502"/>
      <c r="F137" s="502"/>
      <c r="G137" s="502"/>
      <c r="H137" s="502"/>
      <c r="I137" s="502"/>
      <c r="J137" s="502"/>
      <c r="K137" s="502"/>
      <c r="L137" s="503"/>
    </row>
    <row r="138" spans="1:12" s="2" customFormat="1" x14ac:dyDescent="0.25">
      <c r="A138" s="12"/>
      <c r="B138" s="604"/>
      <c r="C138" s="613"/>
      <c r="D138" s="502"/>
      <c r="E138" s="502"/>
      <c r="F138" s="502"/>
      <c r="G138" s="502"/>
      <c r="H138" s="502"/>
      <c r="I138" s="502"/>
      <c r="J138" s="502"/>
      <c r="K138" s="502"/>
      <c r="L138" s="503"/>
    </row>
    <row r="139" spans="1:12" s="2" customFormat="1" x14ac:dyDescent="0.25">
      <c r="A139" s="12"/>
      <c r="B139" s="604"/>
      <c r="C139" s="613"/>
      <c r="D139" s="502"/>
      <c r="E139" s="502"/>
      <c r="F139" s="502"/>
      <c r="G139" s="502"/>
      <c r="H139" s="502"/>
      <c r="I139" s="502"/>
      <c r="J139" s="502"/>
      <c r="K139" s="502"/>
      <c r="L139" s="503"/>
    </row>
    <row r="140" spans="1:12" s="2" customFormat="1" x14ac:dyDescent="0.25">
      <c r="A140" s="12"/>
      <c r="B140" s="604"/>
      <c r="C140" s="613"/>
      <c r="D140" s="502"/>
      <c r="E140" s="502"/>
      <c r="F140" s="502"/>
      <c r="G140" s="502"/>
      <c r="H140" s="502"/>
      <c r="I140" s="502"/>
      <c r="J140" s="502"/>
      <c r="K140" s="502"/>
      <c r="L140" s="503"/>
    </row>
    <row r="141" spans="1:12" s="2" customFormat="1" x14ac:dyDescent="0.25">
      <c r="A141" s="12"/>
      <c r="B141" s="604"/>
      <c r="C141" s="613"/>
      <c r="D141" s="502"/>
      <c r="E141" s="502"/>
      <c r="F141" s="502"/>
      <c r="G141" s="502"/>
      <c r="H141" s="502"/>
      <c r="I141" s="502"/>
      <c r="J141" s="502"/>
      <c r="K141" s="502"/>
      <c r="L141" s="503"/>
    </row>
    <row r="142" spans="1:12" s="2" customFormat="1" x14ac:dyDescent="0.25">
      <c r="A142" s="12"/>
      <c r="B142" s="604"/>
      <c r="C142" s="613"/>
      <c r="D142" s="502"/>
      <c r="E142" s="502"/>
      <c r="F142" s="502"/>
      <c r="G142" s="502"/>
      <c r="H142" s="502"/>
      <c r="I142" s="502"/>
      <c r="J142" s="502"/>
      <c r="K142" s="502"/>
      <c r="L142" s="503"/>
    </row>
    <row r="143" spans="1:12" s="2" customFormat="1" x14ac:dyDescent="0.25">
      <c r="A143" s="12"/>
      <c r="B143" s="604"/>
      <c r="C143" s="613"/>
      <c r="D143" s="502"/>
      <c r="E143" s="502"/>
      <c r="F143" s="502"/>
      <c r="G143" s="502"/>
      <c r="H143" s="502"/>
      <c r="I143" s="502"/>
      <c r="J143" s="502"/>
      <c r="K143" s="502"/>
      <c r="L143" s="503"/>
    </row>
    <row r="144" spans="1:12" s="2" customFormat="1" x14ac:dyDescent="0.25">
      <c r="A144" s="12"/>
      <c r="B144" s="604"/>
      <c r="C144" s="613"/>
      <c r="D144" s="502"/>
      <c r="E144" s="502"/>
      <c r="F144" s="502"/>
      <c r="G144" s="502"/>
      <c r="H144" s="502"/>
      <c r="I144" s="502"/>
      <c r="J144" s="502"/>
      <c r="K144" s="502"/>
      <c r="L144" s="503"/>
    </row>
    <row r="145" spans="1:16" x14ac:dyDescent="0.25">
      <c r="B145" s="604"/>
      <c r="C145" s="613"/>
      <c r="D145" s="502"/>
      <c r="E145" s="502"/>
      <c r="F145" s="502"/>
      <c r="G145" s="502"/>
      <c r="H145" s="502"/>
      <c r="I145" s="502"/>
      <c r="J145" s="502"/>
      <c r="K145" s="502"/>
      <c r="L145" s="503"/>
      <c r="M145" s="2"/>
      <c r="O145" s="2"/>
      <c r="P145" s="2"/>
    </row>
    <row r="146" spans="1:16" x14ac:dyDescent="0.25">
      <c r="B146" s="604"/>
      <c r="C146" s="613"/>
      <c r="D146" s="502"/>
      <c r="E146" s="502"/>
      <c r="F146" s="502"/>
      <c r="G146" s="502"/>
      <c r="H146" s="502"/>
      <c r="I146" s="502"/>
      <c r="J146" s="502"/>
      <c r="K146" s="502"/>
      <c r="L146" s="503"/>
      <c r="M146" s="2"/>
      <c r="O146" s="2"/>
      <c r="P146" s="2"/>
    </row>
    <row r="147" spans="1:16" x14ac:dyDescent="0.25">
      <c r="B147" s="604">
        <v>5</v>
      </c>
      <c r="C147" s="613"/>
      <c r="D147" s="502"/>
      <c r="E147" s="502"/>
      <c r="F147" s="502"/>
      <c r="G147" s="502"/>
      <c r="H147" s="502"/>
      <c r="I147" s="502"/>
      <c r="J147" s="502"/>
      <c r="K147" s="502"/>
      <c r="L147" s="503"/>
      <c r="M147" s="2"/>
      <c r="O147" s="2"/>
      <c r="P147" s="2"/>
    </row>
    <row r="148" spans="1:16" x14ac:dyDescent="0.25">
      <c r="B148" s="604"/>
      <c r="C148" s="613"/>
      <c r="D148" s="502"/>
      <c r="E148" s="502"/>
      <c r="F148" s="502"/>
      <c r="G148" s="502"/>
      <c r="H148" s="502"/>
      <c r="I148" s="502"/>
      <c r="J148" s="502"/>
      <c r="K148" s="502"/>
      <c r="L148" s="503"/>
      <c r="M148" s="2"/>
      <c r="O148" s="2"/>
      <c r="P148" s="2"/>
    </row>
    <row r="149" spans="1:16" x14ac:dyDescent="0.25">
      <c r="B149" s="604"/>
      <c r="C149" s="613"/>
      <c r="D149" s="502"/>
      <c r="E149" s="502"/>
      <c r="F149" s="502"/>
      <c r="G149" s="502"/>
      <c r="H149" s="502"/>
      <c r="I149" s="502"/>
      <c r="J149" s="502"/>
      <c r="K149" s="502"/>
      <c r="L149" s="503"/>
      <c r="M149" s="2"/>
      <c r="O149" s="2"/>
      <c r="P149" s="2"/>
    </row>
    <row r="150" spans="1:16" x14ac:dyDescent="0.25">
      <c r="B150" s="604"/>
      <c r="C150" s="613"/>
      <c r="D150" s="502"/>
      <c r="E150" s="502"/>
      <c r="F150" s="502"/>
      <c r="G150" s="502"/>
      <c r="H150" s="502"/>
      <c r="I150" s="502"/>
      <c r="J150" s="502"/>
      <c r="K150" s="502"/>
      <c r="L150" s="503"/>
      <c r="M150" s="2"/>
      <c r="O150" s="2"/>
      <c r="P150" s="2"/>
    </row>
    <row r="151" spans="1:16" x14ac:dyDescent="0.25">
      <c r="B151" s="604"/>
      <c r="C151" s="613"/>
      <c r="D151" s="502"/>
      <c r="E151" s="502"/>
      <c r="F151" s="502"/>
      <c r="G151" s="502"/>
      <c r="H151" s="502"/>
      <c r="I151" s="502"/>
      <c r="J151" s="502"/>
      <c r="K151" s="502"/>
      <c r="L151" s="503"/>
      <c r="M151" s="2"/>
      <c r="O151" s="2"/>
      <c r="P151" s="2"/>
    </row>
    <row r="152" spans="1:16" x14ac:dyDescent="0.25">
      <c r="B152" s="604"/>
      <c r="C152" s="613"/>
      <c r="D152" s="502"/>
      <c r="E152" s="502"/>
      <c r="F152" s="502"/>
      <c r="G152" s="502"/>
      <c r="H152" s="502"/>
      <c r="I152" s="502"/>
      <c r="J152" s="502"/>
      <c r="K152" s="502"/>
      <c r="L152" s="503"/>
      <c r="M152" s="2"/>
      <c r="O152" s="2"/>
      <c r="P152" s="2"/>
    </row>
    <row r="153" spans="1:16" x14ac:dyDescent="0.25">
      <c r="B153" s="604"/>
      <c r="C153" s="613"/>
      <c r="D153" s="502"/>
      <c r="E153" s="502"/>
      <c r="F153" s="502"/>
      <c r="G153" s="502"/>
      <c r="H153" s="502"/>
      <c r="I153" s="502"/>
      <c r="J153" s="502"/>
      <c r="K153" s="502"/>
      <c r="L153" s="503"/>
      <c r="M153" s="2"/>
      <c r="O153" s="2"/>
      <c r="P153" s="2"/>
    </row>
    <row r="154" spans="1:16" x14ac:dyDescent="0.25">
      <c r="B154" s="604"/>
      <c r="C154" s="613"/>
      <c r="D154" s="502"/>
      <c r="E154" s="502"/>
      <c r="F154" s="502"/>
      <c r="G154" s="502"/>
      <c r="H154" s="502"/>
      <c r="I154" s="502"/>
      <c r="J154" s="502"/>
      <c r="K154" s="502"/>
      <c r="L154" s="503"/>
      <c r="M154" s="2"/>
      <c r="O154" s="2"/>
      <c r="P154" s="2"/>
    </row>
    <row r="155" spans="1:16" x14ac:dyDescent="0.25">
      <c r="B155" s="604"/>
      <c r="C155" s="613"/>
      <c r="D155" s="502"/>
      <c r="E155" s="502"/>
      <c r="F155" s="502"/>
      <c r="G155" s="502"/>
      <c r="H155" s="502"/>
      <c r="I155" s="502"/>
      <c r="J155" s="502"/>
      <c r="K155" s="502"/>
      <c r="L155" s="503"/>
      <c r="M155" s="2"/>
      <c r="O155" s="2"/>
      <c r="P155" s="2"/>
    </row>
    <row r="156" spans="1:16" x14ac:dyDescent="0.25">
      <c r="B156" s="604"/>
      <c r="C156" s="613"/>
      <c r="D156" s="502"/>
      <c r="E156" s="502"/>
      <c r="F156" s="502"/>
      <c r="G156" s="502"/>
      <c r="H156" s="502"/>
      <c r="I156" s="502"/>
      <c r="J156" s="502"/>
      <c r="K156" s="502"/>
      <c r="L156" s="503"/>
      <c r="M156" s="2"/>
      <c r="O156" s="2"/>
      <c r="P156" s="2"/>
    </row>
    <row r="157" spans="1:16" s="152" customFormat="1" x14ac:dyDescent="0.25">
      <c r="A157" s="173"/>
      <c r="B157" s="187"/>
      <c r="C157" s="188"/>
      <c r="D157" s="188"/>
      <c r="E157" s="188"/>
      <c r="F157" s="188"/>
      <c r="G157" s="188"/>
      <c r="H157" s="188"/>
      <c r="I157" s="188"/>
      <c r="J157" s="188"/>
      <c r="K157" s="188"/>
      <c r="L157" s="186"/>
      <c r="O157" s="9"/>
      <c r="P157" s="9"/>
    </row>
    <row r="158" spans="1:16" s="3" customFormat="1" x14ac:dyDescent="0.25">
      <c r="A158" s="12"/>
      <c r="B158" s="585" t="s">
        <v>31</v>
      </c>
      <c r="C158" s="586"/>
      <c r="D158" s="586"/>
      <c r="E158" s="586"/>
      <c r="F158" s="586"/>
      <c r="G158" s="586"/>
      <c r="H158" s="586"/>
      <c r="I158" s="586"/>
      <c r="J158" s="586"/>
      <c r="K158" s="586"/>
      <c r="L158" s="587"/>
      <c r="M158" s="168"/>
      <c r="O158" s="154"/>
      <c r="P158" s="154"/>
    </row>
    <row r="159" spans="1:16" s="152" customFormat="1" x14ac:dyDescent="0.25">
      <c r="A159" s="173"/>
      <c r="B159" s="185"/>
      <c r="C159" s="174"/>
      <c r="D159" s="174"/>
      <c r="E159" s="174"/>
      <c r="F159" s="174"/>
      <c r="G159" s="174"/>
      <c r="H159" s="174"/>
      <c r="I159" s="174"/>
      <c r="J159" s="174"/>
      <c r="K159" s="174"/>
      <c r="L159" s="175"/>
      <c r="O159" s="9"/>
      <c r="P159" s="9"/>
    </row>
    <row r="160" spans="1:16" s="152" customFormat="1" x14ac:dyDescent="0.25">
      <c r="A160" s="173"/>
      <c r="B160" s="579" t="str">
        <f>IF(Intro!$G$21="English",O160,P160)</f>
        <v>Décrivez les processus de production de votre entreprise pour les marchandises et fournissez des organigrammes illustrant les processus.</v>
      </c>
      <c r="C160" s="580"/>
      <c r="D160" s="580"/>
      <c r="E160" s="580"/>
      <c r="F160" s="580"/>
      <c r="G160" s="580"/>
      <c r="H160" s="580"/>
      <c r="I160" s="580"/>
      <c r="J160" s="580"/>
      <c r="K160" s="580"/>
      <c r="L160" s="581"/>
      <c r="O160" s="9" t="s">
        <v>333</v>
      </c>
      <c r="P160" s="9" t="s">
        <v>334</v>
      </c>
    </row>
    <row r="161" spans="1:16" s="152" customFormat="1" x14ac:dyDescent="0.25">
      <c r="A161" s="173"/>
      <c r="B161" s="185"/>
      <c r="C161" s="174"/>
      <c r="D161" s="174"/>
      <c r="E161" s="174"/>
      <c r="F161" s="174"/>
      <c r="G161" s="174"/>
      <c r="H161" s="174"/>
      <c r="I161" s="174"/>
      <c r="J161" s="174"/>
      <c r="K161" s="174"/>
      <c r="L161" s="175"/>
      <c r="O161" s="9"/>
      <c r="P161" s="9"/>
    </row>
    <row r="162" spans="1:16" s="3" customFormat="1" x14ac:dyDescent="0.25">
      <c r="A162" s="12"/>
      <c r="B162" s="582"/>
      <c r="C162" s="583"/>
      <c r="D162" s="583"/>
      <c r="E162" s="583"/>
      <c r="F162" s="583"/>
      <c r="G162" s="583"/>
      <c r="H162" s="583"/>
      <c r="I162" s="583"/>
      <c r="J162" s="583"/>
      <c r="K162" s="583"/>
      <c r="L162" s="584"/>
      <c r="M162" s="152"/>
      <c r="O162" s="154"/>
      <c r="P162" s="154"/>
    </row>
    <row r="163" spans="1:16" s="3" customFormat="1" x14ac:dyDescent="0.25">
      <c r="A163" s="12"/>
      <c r="B163" s="582"/>
      <c r="C163" s="583"/>
      <c r="D163" s="583"/>
      <c r="E163" s="583"/>
      <c r="F163" s="583"/>
      <c r="G163" s="583"/>
      <c r="H163" s="583"/>
      <c r="I163" s="583"/>
      <c r="J163" s="583"/>
      <c r="K163" s="583"/>
      <c r="L163" s="584"/>
      <c r="M163" s="152"/>
      <c r="O163" s="154"/>
      <c r="P163" s="154"/>
    </row>
    <row r="164" spans="1:16" s="3" customFormat="1" x14ac:dyDescent="0.25">
      <c r="A164" s="12"/>
      <c r="B164" s="582"/>
      <c r="C164" s="583"/>
      <c r="D164" s="583"/>
      <c r="E164" s="583"/>
      <c r="F164" s="583"/>
      <c r="G164" s="583"/>
      <c r="H164" s="583"/>
      <c r="I164" s="583"/>
      <c r="J164" s="583"/>
      <c r="K164" s="583"/>
      <c r="L164" s="584"/>
      <c r="M164" s="152"/>
      <c r="O164" s="154"/>
      <c r="P164" s="154"/>
    </row>
    <row r="165" spans="1:16" s="3" customFormat="1" x14ac:dyDescent="0.25">
      <c r="A165" s="12"/>
      <c r="B165" s="582"/>
      <c r="C165" s="583"/>
      <c r="D165" s="583"/>
      <c r="E165" s="583"/>
      <c r="F165" s="583"/>
      <c r="G165" s="583"/>
      <c r="H165" s="583"/>
      <c r="I165" s="583"/>
      <c r="J165" s="583"/>
      <c r="K165" s="583"/>
      <c r="L165" s="584"/>
      <c r="M165" s="152"/>
      <c r="O165" s="154"/>
      <c r="P165" s="154"/>
    </row>
    <row r="166" spans="1:16" s="3" customFormat="1" x14ac:dyDescent="0.25">
      <c r="A166" s="12"/>
      <c r="B166" s="582"/>
      <c r="C166" s="583"/>
      <c r="D166" s="583"/>
      <c r="E166" s="583"/>
      <c r="F166" s="583"/>
      <c r="G166" s="583"/>
      <c r="H166" s="583"/>
      <c r="I166" s="583"/>
      <c r="J166" s="583"/>
      <c r="K166" s="583"/>
      <c r="L166" s="584"/>
      <c r="M166" s="152"/>
      <c r="O166" s="154"/>
      <c r="P166" s="154"/>
    </row>
    <row r="167" spans="1:16" s="3" customFormat="1" x14ac:dyDescent="0.25">
      <c r="A167" s="12"/>
      <c r="B167" s="582"/>
      <c r="C167" s="583"/>
      <c r="D167" s="583"/>
      <c r="E167" s="583"/>
      <c r="F167" s="583"/>
      <c r="G167" s="583"/>
      <c r="H167" s="583"/>
      <c r="I167" s="583"/>
      <c r="J167" s="583"/>
      <c r="K167" s="583"/>
      <c r="L167" s="584"/>
      <c r="M167" s="152"/>
      <c r="O167" s="154"/>
      <c r="P167" s="154"/>
    </row>
    <row r="168" spans="1:16" s="3" customFormat="1" x14ac:dyDescent="0.25">
      <c r="A168" s="12"/>
      <c r="B168" s="582"/>
      <c r="C168" s="583"/>
      <c r="D168" s="583"/>
      <c r="E168" s="583"/>
      <c r="F168" s="583"/>
      <c r="G168" s="583"/>
      <c r="H168" s="583"/>
      <c r="I168" s="583"/>
      <c r="J168" s="583"/>
      <c r="K168" s="583"/>
      <c r="L168" s="584"/>
      <c r="M168" s="152"/>
      <c r="O168" s="154"/>
      <c r="P168" s="154"/>
    </row>
    <row r="169" spans="1:16" s="3" customFormat="1" x14ac:dyDescent="0.25">
      <c r="A169" s="12"/>
      <c r="B169" s="582"/>
      <c r="C169" s="583"/>
      <c r="D169" s="583"/>
      <c r="E169" s="583"/>
      <c r="F169" s="583"/>
      <c r="G169" s="583"/>
      <c r="H169" s="583"/>
      <c r="I169" s="583"/>
      <c r="J169" s="583"/>
      <c r="K169" s="583"/>
      <c r="L169" s="584"/>
      <c r="M169" s="152"/>
      <c r="O169" s="154"/>
      <c r="P169" s="154"/>
    </row>
    <row r="170" spans="1:16" s="152" customFormat="1" x14ac:dyDescent="0.25">
      <c r="A170" s="173"/>
      <c r="B170" s="187"/>
      <c r="C170" s="188"/>
      <c r="D170" s="188"/>
      <c r="E170" s="188"/>
      <c r="F170" s="188"/>
      <c r="G170" s="188"/>
      <c r="H170" s="188"/>
      <c r="I170" s="188"/>
      <c r="J170" s="188"/>
      <c r="K170" s="188"/>
      <c r="L170" s="186"/>
      <c r="O170" s="9"/>
      <c r="P170" s="9"/>
    </row>
    <row r="171" spans="1:16" s="3" customFormat="1" x14ac:dyDescent="0.25">
      <c r="A171" s="12"/>
      <c r="B171" s="585" t="s">
        <v>33</v>
      </c>
      <c r="C171" s="586"/>
      <c r="D171" s="586"/>
      <c r="E171" s="586"/>
      <c r="F171" s="586"/>
      <c r="G171" s="586"/>
      <c r="H171" s="586"/>
      <c r="I171" s="586"/>
      <c r="J171" s="586"/>
      <c r="K171" s="586"/>
      <c r="L171" s="587"/>
      <c r="M171" s="168"/>
    </row>
    <row r="172" spans="1:16" x14ac:dyDescent="0.25">
      <c r="B172" s="170"/>
      <c r="C172" s="171"/>
      <c r="D172" s="171"/>
      <c r="E172" s="171"/>
      <c r="F172" s="171"/>
      <c r="G172" s="171"/>
      <c r="H172" s="171"/>
      <c r="I172" s="171"/>
      <c r="J172" s="171"/>
      <c r="K172" s="171"/>
      <c r="L172" s="172"/>
      <c r="M172" s="2"/>
      <c r="O172" s="2"/>
      <c r="P172" s="2"/>
    </row>
    <row r="173" spans="1:16" x14ac:dyDescent="0.25">
      <c r="B173" s="456" t="str">
        <f>IF(Intro!$G$21="English",O173,P173)</f>
        <v>Énumérez les trois principales matières directes utilisées dans la production des marchandises par votre entreprise, en fonction de leur valeur.</v>
      </c>
      <c r="C173" s="457"/>
      <c r="D173" s="457"/>
      <c r="E173" s="457"/>
      <c r="F173" s="457"/>
      <c r="G173" s="457"/>
      <c r="H173" s="457"/>
      <c r="I173" s="457"/>
      <c r="J173" s="457"/>
      <c r="K173" s="457"/>
      <c r="L173" s="458"/>
      <c r="M173" s="2"/>
      <c r="O173" s="11" t="s">
        <v>207</v>
      </c>
      <c r="P173" s="2" t="s">
        <v>208</v>
      </c>
    </row>
    <row r="174" spans="1:16" x14ac:dyDescent="0.25">
      <c r="B174" s="159"/>
      <c r="C174" s="160"/>
      <c r="D174" s="25"/>
      <c r="E174" s="26"/>
      <c r="F174" s="26"/>
      <c r="G174" s="26"/>
      <c r="H174" s="26"/>
      <c r="I174" s="26"/>
      <c r="J174" s="26"/>
      <c r="K174" s="26"/>
      <c r="L174" s="27"/>
      <c r="M174" s="2"/>
      <c r="O174" s="11"/>
      <c r="P174" s="2"/>
    </row>
    <row r="175" spans="1:16" x14ac:dyDescent="0.25">
      <c r="B175" s="614" t="str">
        <f>IF(Intro!$G$21="English",O175,P175)</f>
        <v>La matière directe utilisée 1</v>
      </c>
      <c r="C175" s="615"/>
      <c r="D175" s="601"/>
      <c r="E175" s="602"/>
      <c r="F175" s="602"/>
      <c r="G175" s="602"/>
      <c r="H175" s="602"/>
      <c r="I175" s="602"/>
      <c r="J175" s="602"/>
      <c r="K175" s="602"/>
      <c r="L175" s="603"/>
      <c r="M175" s="2"/>
      <c r="O175" s="11" t="s">
        <v>209</v>
      </c>
      <c r="P175" s="2" t="s">
        <v>210</v>
      </c>
    </row>
    <row r="176" spans="1:16" x14ac:dyDescent="0.25">
      <c r="B176" s="614" t="str">
        <f>IF(Intro!$G$21="English",O176,P176)</f>
        <v>La matière directe utilisée 2</v>
      </c>
      <c r="C176" s="615"/>
      <c r="D176" s="601"/>
      <c r="E176" s="602"/>
      <c r="F176" s="602"/>
      <c r="G176" s="602"/>
      <c r="H176" s="602"/>
      <c r="I176" s="602"/>
      <c r="J176" s="602"/>
      <c r="K176" s="602"/>
      <c r="L176" s="603"/>
      <c r="M176" s="2"/>
      <c r="O176" s="11" t="s">
        <v>211</v>
      </c>
      <c r="P176" s="2" t="s">
        <v>212</v>
      </c>
    </row>
    <row r="177" spans="1:16" x14ac:dyDescent="0.25">
      <c r="B177" s="614" t="str">
        <f>IF(Intro!$G$21="English",O177,P177)</f>
        <v>La matière directe utilisée 3</v>
      </c>
      <c r="C177" s="615"/>
      <c r="D177" s="601"/>
      <c r="E177" s="602"/>
      <c r="F177" s="602"/>
      <c r="G177" s="602"/>
      <c r="H177" s="602"/>
      <c r="I177" s="602"/>
      <c r="J177" s="602"/>
      <c r="K177" s="602"/>
      <c r="L177" s="603"/>
      <c r="M177" s="2"/>
      <c r="O177" s="11" t="s">
        <v>213</v>
      </c>
      <c r="P177" s="2" t="s">
        <v>214</v>
      </c>
    </row>
    <row r="178" spans="1:16" x14ac:dyDescent="0.25">
      <c r="B178" s="159"/>
      <c r="C178" s="160"/>
      <c r="D178" s="25"/>
      <c r="E178" s="26"/>
      <c r="F178" s="26"/>
      <c r="G178" s="26"/>
      <c r="H178" s="26"/>
      <c r="I178" s="26"/>
      <c r="J178" s="26"/>
      <c r="K178" s="26"/>
      <c r="L178" s="27"/>
      <c r="M178" s="2"/>
      <c r="O178" s="11"/>
      <c r="P178" s="2"/>
    </row>
    <row r="179" spans="1:16" s="3" customFormat="1" x14ac:dyDescent="0.25">
      <c r="A179" s="12"/>
      <c r="B179" s="585" t="s">
        <v>34</v>
      </c>
      <c r="C179" s="586"/>
      <c r="D179" s="586"/>
      <c r="E179" s="586"/>
      <c r="F179" s="586"/>
      <c r="G179" s="586"/>
      <c r="H179" s="586"/>
      <c r="I179" s="586"/>
      <c r="J179" s="586"/>
      <c r="K179" s="586"/>
      <c r="L179" s="587"/>
      <c r="M179" s="168"/>
      <c r="O179" s="154"/>
      <c r="P179" s="154"/>
    </row>
    <row r="180" spans="1:16" s="152" customFormat="1" x14ac:dyDescent="0.25">
      <c r="A180" s="173"/>
      <c r="B180" s="185"/>
      <c r="C180" s="174"/>
      <c r="D180" s="174"/>
      <c r="E180" s="174"/>
      <c r="F180" s="174"/>
      <c r="G180" s="174"/>
      <c r="H180" s="174"/>
      <c r="I180" s="174"/>
      <c r="J180" s="174"/>
      <c r="K180" s="174"/>
      <c r="L180" s="175"/>
      <c r="O180" s="9"/>
      <c r="P180" s="9"/>
    </row>
    <row r="181" spans="1:16" s="152" customFormat="1" x14ac:dyDescent="0.25">
      <c r="A181" s="173"/>
      <c r="B181" s="579" t="str">
        <f>IF(Intro!$G$21="English",O181,P181)</f>
        <v>Quelles publications ou indices votre entreprise utilise-t-elle pour suivre les prix des matières directes utilisées dans la production des marchandises?</v>
      </c>
      <c r="C181" s="580"/>
      <c r="D181" s="580"/>
      <c r="E181" s="580"/>
      <c r="F181" s="580"/>
      <c r="G181" s="580"/>
      <c r="H181" s="580"/>
      <c r="I181" s="580"/>
      <c r="J181" s="580"/>
      <c r="K181" s="580"/>
      <c r="L181" s="581"/>
      <c r="O181" s="9" t="s">
        <v>407</v>
      </c>
      <c r="P181" s="9" t="s">
        <v>408</v>
      </c>
    </row>
    <row r="182" spans="1:16" s="152" customFormat="1" x14ac:dyDescent="0.25">
      <c r="A182" s="173"/>
      <c r="B182" s="185"/>
      <c r="C182" s="174"/>
      <c r="D182" s="174"/>
      <c r="E182" s="174"/>
      <c r="F182" s="174"/>
      <c r="G182" s="174"/>
      <c r="H182" s="174"/>
      <c r="I182" s="174"/>
      <c r="J182" s="174"/>
      <c r="K182" s="174"/>
      <c r="L182" s="175"/>
      <c r="O182" s="9"/>
      <c r="P182" s="9"/>
    </row>
    <row r="183" spans="1:16" s="3" customFormat="1" x14ac:dyDescent="0.25">
      <c r="A183" s="12"/>
      <c r="B183" s="582"/>
      <c r="C183" s="583"/>
      <c r="D183" s="583"/>
      <c r="E183" s="583"/>
      <c r="F183" s="583"/>
      <c r="G183" s="583"/>
      <c r="H183" s="583"/>
      <c r="I183" s="583"/>
      <c r="J183" s="583"/>
      <c r="K183" s="583"/>
      <c r="L183" s="584"/>
      <c r="M183" s="152"/>
      <c r="O183" s="154"/>
      <c r="P183" s="154"/>
    </row>
    <row r="184" spans="1:16" s="3" customFormat="1" x14ac:dyDescent="0.25">
      <c r="A184" s="12"/>
      <c r="B184" s="582"/>
      <c r="C184" s="583"/>
      <c r="D184" s="583"/>
      <c r="E184" s="583"/>
      <c r="F184" s="583"/>
      <c r="G184" s="583"/>
      <c r="H184" s="583"/>
      <c r="I184" s="583"/>
      <c r="J184" s="583"/>
      <c r="K184" s="583"/>
      <c r="L184" s="584"/>
      <c r="M184" s="152"/>
      <c r="O184" s="154"/>
      <c r="P184" s="154"/>
    </row>
    <row r="185" spans="1:16" s="3" customFormat="1" x14ac:dyDescent="0.25">
      <c r="A185" s="12"/>
      <c r="B185" s="582"/>
      <c r="C185" s="583"/>
      <c r="D185" s="583"/>
      <c r="E185" s="583"/>
      <c r="F185" s="583"/>
      <c r="G185" s="583"/>
      <c r="H185" s="583"/>
      <c r="I185" s="583"/>
      <c r="J185" s="583"/>
      <c r="K185" s="583"/>
      <c r="L185" s="584"/>
      <c r="M185" s="152"/>
      <c r="O185" s="154"/>
      <c r="P185" s="154"/>
    </row>
    <row r="186" spans="1:16" s="3" customFormat="1" x14ac:dyDescent="0.25">
      <c r="A186" s="12"/>
      <c r="B186" s="582"/>
      <c r="C186" s="583"/>
      <c r="D186" s="583"/>
      <c r="E186" s="583"/>
      <c r="F186" s="583"/>
      <c r="G186" s="583"/>
      <c r="H186" s="583"/>
      <c r="I186" s="583"/>
      <c r="J186" s="583"/>
      <c r="K186" s="583"/>
      <c r="L186" s="584"/>
      <c r="M186" s="152"/>
      <c r="O186" s="154"/>
      <c r="P186" s="154"/>
    </row>
    <row r="187" spans="1:16" s="3" customFormat="1" x14ac:dyDescent="0.25">
      <c r="A187" s="12"/>
      <c r="B187" s="582"/>
      <c r="C187" s="583"/>
      <c r="D187" s="583"/>
      <c r="E187" s="583"/>
      <c r="F187" s="583"/>
      <c r="G187" s="583"/>
      <c r="H187" s="583"/>
      <c r="I187" s="583"/>
      <c r="J187" s="583"/>
      <c r="K187" s="583"/>
      <c r="L187" s="584"/>
      <c r="M187" s="152"/>
      <c r="O187" s="154"/>
      <c r="P187" s="154"/>
    </row>
    <row r="188" spans="1:16" s="3" customFormat="1" x14ac:dyDescent="0.25">
      <c r="A188" s="12"/>
      <c r="B188" s="582"/>
      <c r="C188" s="583"/>
      <c r="D188" s="583"/>
      <c r="E188" s="583"/>
      <c r="F188" s="583"/>
      <c r="G188" s="583"/>
      <c r="H188" s="583"/>
      <c r="I188" s="583"/>
      <c r="J188" s="583"/>
      <c r="K188" s="583"/>
      <c r="L188" s="584"/>
      <c r="M188" s="152"/>
      <c r="O188" s="154"/>
      <c r="P188" s="154"/>
    </row>
    <row r="189" spans="1:16" s="3" customFormat="1" x14ac:dyDescent="0.25">
      <c r="A189" s="12"/>
      <c r="B189" s="582"/>
      <c r="C189" s="583"/>
      <c r="D189" s="583"/>
      <c r="E189" s="583"/>
      <c r="F189" s="583"/>
      <c r="G189" s="583"/>
      <c r="H189" s="583"/>
      <c r="I189" s="583"/>
      <c r="J189" s="583"/>
      <c r="K189" s="583"/>
      <c r="L189" s="584"/>
      <c r="M189" s="152"/>
      <c r="O189" s="154"/>
      <c r="P189" s="154"/>
    </row>
    <row r="190" spans="1:16" s="3" customFormat="1" x14ac:dyDescent="0.25">
      <c r="A190" s="12"/>
      <c r="B190" s="582"/>
      <c r="C190" s="583"/>
      <c r="D190" s="583"/>
      <c r="E190" s="583"/>
      <c r="F190" s="583"/>
      <c r="G190" s="583"/>
      <c r="H190" s="583"/>
      <c r="I190" s="583"/>
      <c r="J190" s="583"/>
      <c r="K190" s="583"/>
      <c r="L190" s="584"/>
      <c r="M190" s="152"/>
      <c r="O190" s="154"/>
      <c r="P190" s="154"/>
    </row>
    <row r="191" spans="1:16" s="152" customFormat="1" x14ac:dyDescent="0.25">
      <c r="A191" s="173"/>
      <c r="B191" s="187"/>
      <c r="C191" s="188"/>
      <c r="D191" s="188"/>
      <c r="E191" s="188"/>
      <c r="F191" s="188"/>
      <c r="G191" s="188"/>
      <c r="H191" s="188"/>
      <c r="I191" s="188"/>
      <c r="J191" s="188"/>
      <c r="K191" s="188"/>
      <c r="L191" s="186"/>
      <c r="O191" s="9"/>
      <c r="P191" s="9"/>
    </row>
    <row r="192" spans="1:16" s="3" customFormat="1" x14ac:dyDescent="0.25">
      <c r="A192" s="12"/>
      <c r="B192" s="585" t="s">
        <v>35</v>
      </c>
      <c r="C192" s="586"/>
      <c r="D192" s="586"/>
      <c r="E192" s="586"/>
      <c r="F192" s="586"/>
      <c r="G192" s="586"/>
      <c r="H192" s="586"/>
      <c r="I192" s="586"/>
      <c r="J192" s="586"/>
      <c r="K192" s="586"/>
      <c r="L192" s="587"/>
      <c r="M192" s="168"/>
      <c r="O192" s="154"/>
      <c r="P192" s="154"/>
    </row>
    <row r="193" spans="1:16" s="152" customFormat="1" x14ac:dyDescent="0.25">
      <c r="A193" s="173"/>
      <c r="B193" s="185"/>
      <c r="C193" s="174"/>
      <c r="D193" s="174"/>
      <c r="E193" s="174"/>
      <c r="F193" s="174"/>
      <c r="G193" s="174"/>
      <c r="H193" s="174"/>
      <c r="I193" s="174"/>
      <c r="J193" s="174"/>
      <c r="K193" s="174"/>
      <c r="L193" s="175"/>
      <c r="O193" s="9"/>
      <c r="P193" s="9"/>
    </row>
    <row r="194" spans="1:16" s="152" customFormat="1" x14ac:dyDescent="0.25">
      <c r="A194" s="173"/>
      <c r="B194" s="579" t="str">
        <f>IF(Intro!$G$21="English",O194,P194)</f>
        <v>Fournissez des détails si votre entreprise a modifié la gamme de marchandises qu'elle produit depuis le 1er janvier 2023.</v>
      </c>
      <c r="C194" s="580"/>
      <c r="D194" s="580"/>
      <c r="E194" s="580"/>
      <c r="F194" s="580"/>
      <c r="G194" s="580"/>
      <c r="H194" s="580"/>
      <c r="I194" s="580"/>
      <c r="J194" s="580"/>
      <c r="K194" s="580"/>
      <c r="L194" s="581"/>
      <c r="O194" s="9" t="str">
        <f>"Provide details if your firm has changed the product mix of the goods produced since January 1, "&amp;Variables!B6&amp;"."</f>
        <v>Provide details if your firm has changed the product mix of the goods produced since January 1, 2023.</v>
      </c>
      <c r="P194" s="9" t="str">
        <f>"Fournissez des détails si votre entreprise a modifié la gamme de marchandises qu'elle produit depuis le 1er janvier "&amp;Variables!B6&amp;"."</f>
        <v>Fournissez des détails si votre entreprise a modifié la gamme de marchandises qu'elle produit depuis le 1er janvier 2023.</v>
      </c>
    </row>
    <row r="195" spans="1:16" s="152" customFormat="1" x14ac:dyDescent="0.25">
      <c r="A195" s="173"/>
      <c r="B195" s="185"/>
      <c r="C195" s="174"/>
      <c r="D195" s="174"/>
      <c r="E195" s="174"/>
      <c r="F195" s="174"/>
      <c r="G195" s="174"/>
      <c r="H195" s="174"/>
      <c r="I195" s="174"/>
      <c r="J195" s="174"/>
      <c r="K195" s="174"/>
      <c r="L195" s="175"/>
      <c r="O195" s="9"/>
      <c r="P195" s="9"/>
    </row>
    <row r="196" spans="1:16" s="3" customFormat="1" x14ac:dyDescent="0.25">
      <c r="A196" s="12"/>
      <c r="B196" s="582"/>
      <c r="C196" s="583"/>
      <c r="D196" s="583"/>
      <c r="E196" s="583"/>
      <c r="F196" s="583"/>
      <c r="G196" s="583"/>
      <c r="H196" s="583"/>
      <c r="I196" s="583"/>
      <c r="J196" s="583"/>
      <c r="K196" s="583"/>
      <c r="L196" s="584"/>
      <c r="M196" s="152"/>
      <c r="O196" s="154"/>
      <c r="P196" s="154"/>
    </row>
    <row r="197" spans="1:16" s="3" customFormat="1" x14ac:dyDescent="0.25">
      <c r="A197" s="12"/>
      <c r="B197" s="582"/>
      <c r="C197" s="583"/>
      <c r="D197" s="583"/>
      <c r="E197" s="583"/>
      <c r="F197" s="583"/>
      <c r="G197" s="583"/>
      <c r="H197" s="583"/>
      <c r="I197" s="583"/>
      <c r="J197" s="583"/>
      <c r="K197" s="583"/>
      <c r="L197" s="584"/>
      <c r="M197" s="152"/>
      <c r="O197" s="154"/>
      <c r="P197" s="154"/>
    </row>
    <row r="198" spans="1:16" s="3" customFormat="1" x14ac:dyDescent="0.25">
      <c r="A198" s="12"/>
      <c r="B198" s="582"/>
      <c r="C198" s="583"/>
      <c r="D198" s="583"/>
      <c r="E198" s="583"/>
      <c r="F198" s="583"/>
      <c r="G198" s="583"/>
      <c r="H198" s="583"/>
      <c r="I198" s="583"/>
      <c r="J198" s="583"/>
      <c r="K198" s="583"/>
      <c r="L198" s="584"/>
      <c r="M198" s="152"/>
      <c r="O198" s="154"/>
      <c r="P198" s="154"/>
    </row>
    <row r="199" spans="1:16" s="3" customFormat="1" x14ac:dyDescent="0.25">
      <c r="A199" s="12"/>
      <c r="B199" s="582"/>
      <c r="C199" s="583"/>
      <c r="D199" s="583"/>
      <c r="E199" s="583"/>
      <c r="F199" s="583"/>
      <c r="G199" s="583"/>
      <c r="H199" s="583"/>
      <c r="I199" s="583"/>
      <c r="J199" s="583"/>
      <c r="K199" s="583"/>
      <c r="L199" s="584"/>
      <c r="M199" s="152"/>
      <c r="O199" s="154"/>
      <c r="P199" s="154"/>
    </row>
    <row r="200" spans="1:16" s="3" customFormat="1" x14ac:dyDescent="0.25">
      <c r="A200" s="12"/>
      <c r="B200" s="582"/>
      <c r="C200" s="583"/>
      <c r="D200" s="583"/>
      <c r="E200" s="583"/>
      <c r="F200" s="583"/>
      <c r="G200" s="583"/>
      <c r="H200" s="583"/>
      <c r="I200" s="583"/>
      <c r="J200" s="583"/>
      <c r="K200" s="583"/>
      <c r="L200" s="584"/>
      <c r="M200" s="152"/>
      <c r="O200" s="154"/>
      <c r="P200" s="154"/>
    </row>
    <row r="201" spans="1:16" s="3" customFormat="1" x14ac:dyDescent="0.25">
      <c r="A201" s="12"/>
      <c r="B201" s="582"/>
      <c r="C201" s="583"/>
      <c r="D201" s="583"/>
      <c r="E201" s="583"/>
      <c r="F201" s="583"/>
      <c r="G201" s="583"/>
      <c r="H201" s="583"/>
      <c r="I201" s="583"/>
      <c r="J201" s="583"/>
      <c r="K201" s="583"/>
      <c r="L201" s="584"/>
      <c r="M201" s="152"/>
      <c r="O201" s="154"/>
      <c r="P201" s="154"/>
    </row>
    <row r="202" spans="1:16" s="3" customFormat="1" x14ac:dyDescent="0.25">
      <c r="A202" s="12"/>
      <c r="B202" s="582"/>
      <c r="C202" s="583"/>
      <c r="D202" s="583"/>
      <c r="E202" s="583"/>
      <c r="F202" s="583"/>
      <c r="G202" s="583"/>
      <c r="H202" s="583"/>
      <c r="I202" s="583"/>
      <c r="J202" s="583"/>
      <c r="K202" s="583"/>
      <c r="L202" s="584"/>
      <c r="M202" s="152"/>
      <c r="O202" s="154"/>
      <c r="P202" s="154"/>
    </row>
    <row r="203" spans="1:16" s="3" customFormat="1" x14ac:dyDescent="0.25">
      <c r="A203" s="12"/>
      <c r="B203" s="582"/>
      <c r="C203" s="583"/>
      <c r="D203" s="583"/>
      <c r="E203" s="583"/>
      <c r="F203" s="583"/>
      <c r="G203" s="583"/>
      <c r="H203" s="583"/>
      <c r="I203" s="583"/>
      <c r="J203" s="583"/>
      <c r="K203" s="583"/>
      <c r="L203" s="584"/>
      <c r="M203" s="152"/>
      <c r="O203" s="154"/>
      <c r="P203" s="154"/>
    </row>
    <row r="204" spans="1:16" s="152" customFormat="1" x14ac:dyDescent="0.25">
      <c r="A204" s="173"/>
      <c r="B204" s="187"/>
      <c r="C204" s="188"/>
      <c r="D204" s="188"/>
      <c r="E204" s="188"/>
      <c r="F204" s="188"/>
      <c r="G204" s="188"/>
      <c r="H204" s="188"/>
      <c r="I204" s="188"/>
      <c r="J204" s="188"/>
      <c r="K204" s="188"/>
      <c r="L204" s="186"/>
      <c r="O204" s="9"/>
      <c r="P204" s="9"/>
    </row>
    <row r="205" spans="1:16" x14ac:dyDescent="0.25">
      <c r="B205" s="37"/>
      <c r="L205" s="38"/>
    </row>
    <row r="206" spans="1:16" x14ac:dyDescent="0.25">
      <c r="B206" s="453" t="str">
        <f>IF(Intro!$G$21="English",O206,P206)</f>
        <v>CARACTÉRISTIQUES DU MARCHÉ DES MARCHANDISES</v>
      </c>
      <c r="C206" s="454"/>
      <c r="D206" s="454"/>
      <c r="E206" s="454"/>
      <c r="F206" s="454"/>
      <c r="G206" s="454"/>
      <c r="H206" s="454"/>
      <c r="I206" s="454"/>
      <c r="J206" s="454"/>
      <c r="K206" s="454"/>
      <c r="L206" s="455"/>
      <c r="M206" s="152"/>
      <c r="O206" s="199" t="s">
        <v>651</v>
      </c>
      <c r="P206" s="199" t="s">
        <v>652</v>
      </c>
    </row>
    <row r="207" spans="1:16" s="3" customFormat="1" x14ac:dyDescent="0.25">
      <c r="A207" s="12"/>
      <c r="B207" s="585" t="s">
        <v>36</v>
      </c>
      <c r="C207" s="586"/>
      <c r="D207" s="586"/>
      <c r="E207" s="586"/>
      <c r="F207" s="586"/>
      <c r="G207" s="586"/>
      <c r="H207" s="586"/>
      <c r="I207" s="586"/>
      <c r="J207" s="586"/>
      <c r="K207" s="586"/>
      <c r="L207" s="587"/>
      <c r="M207" s="168"/>
      <c r="O207" s="154"/>
      <c r="P207" s="154"/>
    </row>
    <row r="208" spans="1:16" s="152" customFormat="1" x14ac:dyDescent="0.25">
      <c r="A208" s="173"/>
      <c r="B208" s="185"/>
      <c r="C208" s="174"/>
      <c r="D208" s="174"/>
      <c r="E208" s="174"/>
      <c r="F208" s="174"/>
      <c r="G208" s="174"/>
      <c r="H208" s="174"/>
      <c r="I208" s="174"/>
      <c r="J208" s="174"/>
      <c r="K208" s="174"/>
      <c r="L208" s="175"/>
      <c r="O208" s="9"/>
      <c r="P208" s="9"/>
    </row>
    <row r="209" spans="1:16" s="152" customFormat="1" x14ac:dyDescent="0.25">
      <c r="A209" s="173"/>
      <c r="B209" s="579" t="str">
        <f>IF(Intro!$G$21="English",O209,P209)</f>
        <v>Indiquez dans quels segments de marché ces marchandises sont vendues.</v>
      </c>
      <c r="C209" s="580"/>
      <c r="D209" s="580"/>
      <c r="E209" s="580"/>
      <c r="F209" s="580"/>
      <c r="G209" s="580"/>
      <c r="H209" s="580"/>
      <c r="I209" s="580"/>
      <c r="J209" s="580"/>
      <c r="K209" s="580"/>
      <c r="L209" s="581"/>
      <c r="O209" s="9" t="s">
        <v>350</v>
      </c>
      <c r="P209" s="9" t="s">
        <v>709</v>
      </c>
    </row>
    <row r="210" spans="1:16" s="152" customFormat="1" x14ac:dyDescent="0.25">
      <c r="A210" s="173"/>
      <c r="B210" s="185"/>
      <c r="C210" s="174"/>
      <c r="D210" s="174"/>
      <c r="E210" s="174"/>
      <c r="F210" s="174"/>
      <c r="G210" s="174"/>
      <c r="H210" s="174"/>
      <c r="I210" s="174"/>
      <c r="J210" s="174"/>
      <c r="K210" s="174"/>
      <c r="L210" s="175"/>
      <c r="O210" s="9"/>
      <c r="P210" s="9"/>
    </row>
    <row r="211" spans="1:16" x14ac:dyDescent="0.25">
      <c r="B211" s="473" t="str">
        <f>IF(Intro!$G$21="English",O211,P211)</f>
        <v>Segment de marché 1</v>
      </c>
      <c r="C211" s="474"/>
      <c r="D211" s="474"/>
      <c r="E211" s="502"/>
      <c r="F211" s="502"/>
      <c r="G211" s="502"/>
      <c r="H211" s="502"/>
      <c r="I211" s="502"/>
      <c r="J211" s="502"/>
      <c r="K211" s="502"/>
      <c r="L211" s="503"/>
      <c r="M211" s="2"/>
      <c r="O211" s="9" t="s">
        <v>351</v>
      </c>
      <c r="P211" s="9" t="s">
        <v>352</v>
      </c>
    </row>
    <row r="212" spans="1:16" x14ac:dyDescent="0.25">
      <c r="B212" s="473"/>
      <c r="C212" s="474"/>
      <c r="D212" s="474"/>
      <c r="E212" s="502"/>
      <c r="F212" s="502"/>
      <c r="G212" s="502"/>
      <c r="H212" s="502"/>
      <c r="I212" s="502"/>
      <c r="J212" s="502"/>
      <c r="K212" s="502"/>
      <c r="L212" s="503"/>
      <c r="M212" s="2"/>
    </row>
    <row r="213" spans="1:16" x14ac:dyDescent="0.25">
      <c r="B213" s="473"/>
      <c r="C213" s="474"/>
      <c r="D213" s="474"/>
      <c r="E213" s="502"/>
      <c r="F213" s="502"/>
      <c r="G213" s="502"/>
      <c r="H213" s="502"/>
      <c r="I213" s="502"/>
      <c r="J213" s="502"/>
      <c r="K213" s="502"/>
      <c r="L213" s="503"/>
      <c r="M213" s="2"/>
    </row>
    <row r="214" spans="1:16" x14ac:dyDescent="0.25">
      <c r="B214" s="473"/>
      <c r="C214" s="474"/>
      <c r="D214" s="474"/>
      <c r="E214" s="502"/>
      <c r="F214" s="502"/>
      <c r="G214" s="502"/>
      <c r="H214" s="502"/>
      <c r="I214" s="502"/>
      <c r="J214" s="502"/>
      <c r="K214" s="502"/>
      <c r="L214" s="503"/>
      <c r="M214" s="2"/>
    </row>
    <row r="215" spans="1:16" x14ac:dyDescent="0.25">
      <c r="B215" s="473"/>
      <c r="C215" s="474"/>
      <c r="D215" s="474"/>
      <c r="E215" s="502"/>
      <c r="F215" s="502"/>
      <c r="G215" s="502"/>
      <c r="H215" s="502"/>
      <c r="I215" s="502"/>
      <c r="J215" s="502"/>
      <c r="K215" s="502"/>
      <c r="L215" s="503"/>
      <c r="M215" s="2"/>
    </row>
    <row r="216" spans="1:16" x14ac:dyDescent="0.25">
      <c r="B216" s="473" t="str">
        <f>IF(Intro!$G$21="English",O216,P216)</f>
        <v>Segment de marché 2</v>
      </c>
      <c r="C216" s="474"/>
      <c r="D216" s="474"/>
      <c r="E216" s="502"/>
      <c r="F216" s="502"/>
      <c r="G216" s="502"/>
      <c r="H216" s="502"/>
      <c r="I216" s="502"/>
      <c r="J216" s="502"/>
      <c r="K216" s="502"/>
      <c r="L216" s="503"/>
      <c r="M216" s="2"/>
      <c r="O216" s="9" t="s">
        <v>353</v>
      </c>
      <c r="P216" s="9" t="s">
        <v>354</v>
      </c>
    </row>
    <row r="217" spans="1:16" x14ac:dyDescent="0.25">
      <c r="B217" s="473"/>
      <c r="C217" s="474"/>
      <c r="D217" s="474"/>
      <c r="E217" s="502"/>
      <c r="F217" s="502"/>
      <c r="G217" s="502"/>
      <c r="H217" s="502"/>
      <c r="I217" s="502"/>
      <c r="J217" s="502"/>
      <c r="K217" s="502"/>
      <c r="L217" s="503"/>
      <c r="M217" s="2"/>
    </row>
    <row r="218" spans="1:16" x14ac:dyDescent="0.25">
      <c r="B218" s="473"/>
      <c r="C218" s="474"/>
      <c r="D218" s="474"/>
      <c r="E218" s="502"/>
      <c r="F218" s="502"/>
      <c r="G218" s="502"/>
      <c r="H218" s="502"/>
      <c r="I218" s="502"/>
      <c r="J218" s="502"/>
      <c r="K218" s="502"/>
      <c r="L218" s="503"/>
      <c r="M218" s="2"/>
    </row>
    <row r="219" spans="1:16" x14ac:dyDescent="0.25">
      <c r="B219" s="473"/>
      <c r="C219" s="474"/>
      <c r="D219" s="474"/>
      <c r="E219" s="502"/>
      <c r="F219" s="502"/>
      <c r="G219" s="502"/>
      <c r="H219" s="502"/>
      <c r="I219" s="502"/>
      <c r="J219" s="502"/>
      <c r="K219" s="502"/>
      <c r="L219" s="503"/>
      <c r="M219" s="2"/>
    </row>
    <row r="220" spans="1:16" x14ac:dyDescent="0.25">
      <c r="B220" s="473"/>
      <c r="C220" s="474"/>
      <c r="D220" s="474"/>
      <c r="E220" s="502"/>
      <c r="F220" s="502"/>
      <c r="G220" s="502"/>
      <c r="H220" s="502"/>
      <c r="I220" s="502"/>
      <c r="J220" s="502"/>
      <c r="K220" s="502"/>
      <c r="L220" s="503"/>
      <c r="M220" s="2"/>
      <c r="O220" s="2"/>
      <c r="P220" s="2"/>
    </row>
    <row r="221" spans="1:16" x14ac:dyDescent="0.25">
      <c r="B221" s="473" t="str">
        <f>IF(Intro!$G$21="English",O221,P221)</f>
        <v>Segment de marché 3</v>
      </c>
      <c r="C221" s="474"/>
      <c r="D221" s="474"/>
      <c r="E221" s="502"/>
      <c r="F221" s="502"/>
      <c r="G221" s="502"/>
      <c r="H221" s="502"/>
      <c r="I221" s="502"/>
      <c r="J221" s="502"/>
      <c r="K221" s="502"/>
      <c r="L221" s="503"/>
      <c r="M221" s="2"/>
      <c r="O221" s="9" t="s">
        <v>355</v>
      </c>
      <c r="P221" s="9" t="s">
        <v>356</v>
      </c>
    </row>
    <row r="222" spans="1:16" x14ac:dyDescent="0.25">
      <c r="B222" s="473"/>
      <c r="C222" s="474"/>
      <c r="D222" s="474"/>
      <c r="E222" s="502"/>
      <c r="F222" s="502"/>
      <c r="G222" s="502"/>
      <c r="H222" s="502"/>
      <c r="I222" s="502"/>
      <c r="J222" s="502"/>
      <c r="K222" s="502"/>
      <c r="L222" s="503"/>
      <c r="M222" s="2"/>
    </row>
    <row r="223" spans="1:16" x14ac:dyDescent="0.25">
      <c r="B223" s="473"/>
      <c r="C223" s="474"/>
      <c r="D223" s="474"/>
      <c r="E223" s="502"/>
      <c r="F223" s="502"/>
      <c r="G223" s="502"/>
      <c r="H223" s="502"/>
      <c r="I223" s="502"/>
      <c r="J223" s="502"/>
      <c r="K223" s="502"/>
      <c r="L223" s="503"/>
      <c r="M223" s="2"/>
    </row>
    <row r="224" spans="1:16" x14ac:dyDescent="0.25">
      <c r="B224" s="473"/>
      <c r="C224" s="474"/>
      <c r="D224" s="474"/>
      <c r="E224" s="502"/>
      <c r="F224" s="502"/>
      <c r="G224" s="502"/>
      <c r="H224" s="502"/>
      <c r="I224" s="502"/>
      <c r="J224" s="502"/>
      <c r="K224" s="502"/>
      <c r="L224" s="503"/>
      <c r="M224" s="2"/>
    </row>
    <row r="225" spans="1:16" x14ac:dyDescent="0.25">
      <c r="B225" s="473"/>
      <c r="C225" s="474"/>
      <c r="D225" s="474"/>
      <c r="E225" s="502"/>
      <c r="F225" s="502"/>
      <c r="G225" s="502"/>
      <c r="H225" s="502"/>
      <c r="I225" s="502"/>
      <c r="J225" s="502"/>
      <c r="K225" s="502"/>
      <c r="L225" s="503"/>
      <c r="M225" s="2"/>
    </row>
    <row r="226" spans="1:16" s="152" customFormat="1" x14ac:dyDescent="0.25">
      <c r="A226" s="173"/>
      <c r="B226" s="187"/>
      <c r="C226" s="188"/>
      <c r="D226" s="188"/>
      <c r="E226" s="188"/>
      <c r="F226" s="188"/>
      <c r="G226" s="188"/>
      <c r="H226" s="188"/>
      <c r="I226" s="188"/>
      <c r="J226" s="188"/>
      <c r="K226" s="188"/>
      <c r="L226" s="186"/>
      <c r="O226" s="9"/>
      <c r="P226" s="9"/>
    </row>
    <row r="227" spans="1:16" s="3" customFormat="1" x14ac:dyDescent="0.25">
      <c r="A227" s="12"/>
      <c r="B227" s="585" t="s">
        <v>37</v>
      </c>
      <c r="C227" s="586"/>
      <c r="D227" s="586"/>
      <c r="E227" s="586"/>
      <c r="F227" s="586"/>
      <c r="G227" s="586"/>
      <c r="H227" s="586"/>
      <c r="I227" s="586"/>
      <c r="J227" s="586"/>
      <c r="K227" s="586"/>
      <c r="L227" s="587"/>
      <c r="M227" s="168"/>
      <c r="O227" s="154"/>
      <c r="P227" s="154"/>
    </row>
    <row r="228" spans="1:16" s="152" customFormat="1" x14ac:dyDescent="0.25">
      <c r="A228" s="173"/>
      <c r="B228" s="185"/>
      <c r="C228" s="174"/>
      <c r="D228" s="174"/>
      <c r="E228" s="174"/>
      <c r="F228" s="174"/>
      <c r="G228" s="174"/>
      <c r="H228" s="174"/>
      <c r="I228" s="174"/>
      <c r="J228" s="174"/>
      <c r="K228" s="174"/>
      <c r="L228" s="175"/>
      <c r="O228" s="9"/>
      <c r="P228" s="9"/>
    </row>
    <row r="229" spans="1:16" s="152" customFormat="1" x14ac:dyDescent="0.25">
      <c r="A229" s="173"/>
      <c r="B229" s="456" t="str">
        <f>IF(Intro!$G$21="English",O229,P229)</f>
        <v>Décrivez s'il y a une saisonnalité sur le marché canadien pour les marchandises. Décrivez toute variation saisonnière de la production, du volume des stocks ou des ventes de la production de votre entreprise au Canada.</v>
      </c>
      <c r="C229" s="457"/>
      <c r="D229" s="457"/>
      <c r="E229" s="457"/>
      <c r="F229" s="457"/>
      <c r="G229" s="457"/>
      <c r="H229" s="457"/>
      <c r="I229" s="457"/>
      <c r="J229" s="457"/>
      <c r="K229" s="457"/>
      <c r="L229" s="458"/>
      <c r="O229" s="9" t="s">
        <v>383</v>
      </c>
      <c r="P229" s="9" t="s">
        <v>384</v>
      </c>
    </row>
    <row r="230" spans="1:16" s="152" customFormat="1" x14ac:dyDescent="0.25">
      <c r="A230" s="173"/>
      <c r="B230" s="456"/>
      <c r="C230" s="457"/>
      <c r="D230" s="457"/>
      <c r="E230" s="457"/>
      <c r="F230" s="457"/>
      <c r="G230" s="457"/>
      <c r="H230" s="457"/>
      <c r="I230" s="457"/>
      <c r="J230" s="457"/>
      <c r="K230" s="457"/>
      <c r="L230" s="458"/>
      <c r="O230" s="9"/>
      <c r="P230" s="9"/>
    </row>
    <row r="231" spans="1:16" s="152" customFormat="1" x14ac:dyDescent="0.25">
      <c r="A231" s="173"/>
      <c r="B231" s="185"/>
      <c r="C231" s="174"/>
      <c r="D231" s="174"/>
      <c r="E231" s="174"/>
      <c r="F231" s="174"/>
      <c r="G231" s="174"/>
      <c r="H231" s="174"/>
      <c r="I231" s="174"/>
      <c r="J231" s="174"/>
      <c r="K231" s="174"/>
      <c r="L231" s="175"/>
      <c r="O231" s="9"/>
      <c r="P231" s="9"/>
    </row>
    <row r="232" spans="1:16" s="3" customFormat="1" x14ac:dyDescent="0.25">
      <c r="A232" s="12"/>
      <c r="B232" s="582"/>
      <c r="C232" s="583"/>
      <c r="D232" s="583"/>
      <c r="E232" s="583"/>
      <c r="F232" s="583"/>
      <c r="G232" s="583"/>
      <c r="H232" s="583"/>
      <c r="I232" s="583"/>
      <c r="J232" s="583"/>
      <c r="K232" s="583"/>
      <c r="L232" s="584"/>
      <c r="M232" s="152"/>
      <c r="O232" s="154"/>
      <c r="P232" s="154"/>
    </row>
    <row r="233" spans="1:16" s="3" customFormat="1" x14ac:dyDescent="0.25">
      <c r="A233" s="12"/>
      <c r="B233" s="582"/>
      <c r="C233" s="583"/>
      <c r="D233" s="583"/>
      <c r="E233" s="583"/>
      <c r="F233" s="583"/>
      <c r="G233" s="583"/>
      <c r="H233" s="583"/>
      <c r="I233" s="583"/>
      <c r="J233" s="583"/>
      <c r="K233" s="583"/>
      <c r="L233" s="584"/>
      <c r="M233" s="152"/>
      <c r="O233" s="154"/>
      <c r="P233" s="154"/>
    </row>
    <row r="234" spans="1:16" s="3" customFormat="1" x14ac:dyDescent="0.25">
      <c r="A234" s="12"/>
      <c r="B234" s="582"/>
      <c r="C234" s="583"/>
      <c r="D234" s="583"/>
      <c r="E234" s="583"/>
      <c r="F234" s="583"/>
      <c r="G234" s="583"/>
      <c r="H234" s="583"/>
      <c r="I234" s="583"/>
      <c r="J234" s="583"/>
      <c r="K234" s="583"/>
      <c r="L234" s="584"/>
      <c r="M234" s="152"/>
      <c r="O234" s="154"/>
      <c r="P234" s="154"/>
    </row>
    <row r="235" spans="1:16" s="3" customFormat="1" x14ac:dyDescent="0.25">
      <c r="A235" s="12"/>
      <c r="B235" s="582"/>
      <c r="C235" s="583"/>
      <c r="D235" s="583"/>
      <c r="E235" s="583"/>
      <c r="F235" s="583"/>
      <c r="G235" s="583"/>
      <c r="H235" s="583"/>
      <c r="I235" s="583"/>
      <c r="J235" s="583"/>
      <c r="K235" s="583"/>
      <c r="L235" s="584"/>
      <c r="M235" s="152"/>
      <c r="O235" s="154"/>
      <c r="P235" s="154"/>
    </row>
    <row r="236" spans="1:16" s="3" customFormat="1" x14ac:dyDescent="0.25">
      <c r="A236" s="12"/>
      <c r="B236" s="582"/>
      <c r="C236" s="583"/>
      <c r="D236" s="583"/>
      <c r="E236" s="583"/>
      <c r="F236" s="583"/>
      <c r="G236" s="583"/>
      <c r="H236" s="583"/>
      <c r="I236" s="583"/>
      <c r="J236" s="583"/>
      <c r="K236" s="583"/>
      <c r="L236" s="584"/>
      <c r="M236" s="152"/>
      <c r="O236" s="154"/>
      <c r="P236" s="154"/>
    </row>
    <row r="237" spans="1:16" s="3" customFormat="1" x14ac:dyDescent="0.25">
      <c r="A237" s="12"/>
      <c r="B237" s="582"/>
      <c r="C237" s="583"/>
      <c r="D237" s="583"/>
      <c r="E237" s="583"/>
      <c r="F237" s="583"/>
      <c r="G237" s="583"/>
      <c r="H237" s="583"/>
      <c r="I237" s="583"/>
      <c r="J237" s="583"/>
      <c r="K237" s="583"/>
      <c r="L237" s="584"/>
      <c r="M237" s="152"/>
      <c r="O237" s="154"/>
      <c r="P237" s="154"/>
    </row>
    <row r="238" spans="1:16" s="3" customFormat="1" x14ac:dyDescent="0.25">
      <c r="A238" s="12"/>
      <c r="B238" s="582"/>
      <c r="C238" s="583"/>
      <c r="D238" s="583"/>
      <c r="E238" s="583"/>
      <c r="F238" s="583"/>
      <c r="G238" s="583"/>
      <c r="H238" s="583"/>
      <c r="I238" s="583"/>
      <c r="J238" s="583"/>
      <c r="K238" s="583"/>
      <c r="L238" s="584"/>
      <c r="M238" s="152"/>
      <c r="O238" s="154"/>
      <c r="P238" s="154"/>
    </row>
    <row r="239" spans="1:16" s="3" customFormat="1" x14ac:dyDescent="0.25">
      <c r="A239" s="12"/>
      <c r="B239" s="582"/>
      <c r="C239" s="583"/>
      <c r="D239" s="583"/>
      <c r="E239" s="583"/>
      <c r="F239" s="583"/>
      <c r="G239" s="583"/>
      <c r="H239" s="583"/>
      <c r="I239" s="583"/>
      <c r="J239" s="583"/>
      <c r="K239" s="583"/>
      <c r="L239" s="584"/>
      <c r="M239" s="152"/>
      <c r="O239" s="154"/>
      <c r="P239" s="154"/>
    </row>
    <row r="240" spans="1:16" s="152" customFormat="1" x14ac:dyDescent="0.25">
      <c r="A240" s="173"/>
      <c r="B240" s="187"/>
      <c r="C240" s="188"/>
      <c r="D240" s="188"/>
      <c r="E240" s="188"/>
      <c r="F240" s="188"/>
      <c r="G240" s="188"/>
      <c r="H240" s="188"/>
      <c r="I240" s="188"/>
      <c r="J240" s="188"/>
      <c r="K240" s="188"/>
      <c r="L240" s="186"/>
      <c r="O240" s="9"/>
      <c r="P240" s="9"/>
    </row>
    <row r="241" spans="1:16" s="3" customFormat="1" x14ac:dyDescent="0.25">
      <c r="A241" s="12"/>
      <c r="B241" s="585" t="s">
        <v>38</v>
      </c>
      <c r="C241" s="586"/>
      <c r="D241" s="586"/>
      <c r="E241" s="586"/>
      <c r="F241" s="586"/>
      <c r="G241" s="586"/>
      <c r="H241" s="586"/>
      <c r="I241" s="586"/>
      <c r="J241" s="586"/>
      <c r="K241" s="586"/>
      <c r="L241" s="587"/>
      <c r="M241" s="168"/>
      <c r="O241" s="154"/>
      <c r="P241" s="154"/>
    </row>
    <row r="242" spans="1:16" s="152" customFormat="1" x14ac:dyDescent="0.25">
      <c r="A242" s="173"/>
      <c r="B242" s="185"/>
      <c r="C242" s="174"/>
      <c r="D242" s="174"/>
      <c r="E242" s="174"/>
      <c r="F242" s="174"/>
      <c r="G242" s="174"/>
      <c r="H242" s="174"/>
      <c r="I242" s="174"/>
      <c r="J242" s="174"/>
      <c r="K242" s="174"/>
      <c r="L242" s="175"/>
      <c r="O242" s="9"/>
      <c r="P242" s="9"/>
    </row>
    <row r="243" spans="1:16" s="152" customFormat="1" x14ac:dyDescent="0.25">
      <c r="A243" s="173"/>
      <c r="B243" s="456" t="str">
        <f>IF(Intro!$G$21="English",O243,P243)</f>
        <v>Quels ont été les principaux facteurs affectant la demande des marchandises au Canada depuis le 1er janvier 2023 (par exemple, les préférences des utilisateurs, la politique gouvernementale, les conditions économiques, le taux de change)?</v>
      </c>
      <c r="C243" s="457"/>
      <c r="D243" s="457"/>
      <c r="E243" s="457"/>
      <c r="F243" s="457"/>
      <c r="G243" s="457"/>
      <c r="H243" s="457"/>
      <c r="I243" s="457"/>
      <c r="J243" s="457"/>
      <c r="K243" s="457"/>
      <c r="L243" s="458"/>
      <c r="O243" s="9" t="str">
        <f>"What have been the principal factors affecting the demand for the goods in Canada since January 1, "&amp;Variables!B6&amp;" (e.g., user preferences, government policy, economic conditions, exchange rate)?"</f>
        <v>What have been the principal factors affecting the demand for the goods in Canada since January 1, 2023 (e.g., user preferences, government policy, economic conditions, exchange rate)?</v>
      </c>
      <c r="P243" s="9" t="str">
        <f>"Quels ont été les principaux facteurs affectant la demande des marchandises au Canada depuis le 1er janvier "&amp;Variables!B6&amp;" (par exemple, les préférences des utilisateurs, la politique gouvernementale, les conditions économiques, le taux de change)?"</f>
        <v>Quels ont été les principaux facteurs affectant la demande des marchandises au Canada depuis le 1er janvier 2023 (par exemple, les préférences des utilisateurs, la politique gouvernementale, les conditions économiques, le taux de change)?</v>
      </c>
    </row>
    <row r="244" spans="1:16" s="152" customFormat="1" x14ac:dyDescent="0.25">
      <c r="A244" s="173"/>
      <c r="B244" s="456"/>
      <c r="C244" s="457"/>
      <c r="D244" s="457"/>
      <c r="E244" s="457"/>
      <c r="F244" s="457"/>
      <c r="G244" s="457"/>
      <c r="H244" s="457"/>
      <c r="I244" s="457"/>
      <c r="J244" s="457"/>
      <c r="K244" s="457"/>
      <c r="L244" s="458"/>
      <c r="O244" s="9"/>
      <c r="P244" s="9"/>
    </row>
    <row r="245" spans="1:16" s="3" customFormat="1" x14ac:dyDescent="0.25">
      <c r="A245" s="12"/>
      <c r="B245" s="582"/>
      <c r="C245" s="583"/>
      <c r="D245" s="583"/>
      <c r="E245" s="583"/>
      <c r="F245" s="583"/>
      <c r="G245" s="583"/>
      <c r="H245" s="583"/>
      <c r="I245" s="583"/>
      <c r="J245" s="583"/>
      <c r="K245" s="583"/>
      <c r="L245" s="584"/>
      <c r="M245" s="152"/>
      <c r="O245" s="154"/>
      <c r="P245" s="154"/>
    </row>
    <row r="246" spans="1:16" s="3" customFormat="1" x14ac:dyDescent="0.25">
      <c r="A246" s="12"/>
      <c r="B246" s="582"/>
      <c r="C246" s="583"/>
      <c r="D246" s="583"/>
      <c r="E246" s="583"/>
      <c r="F246" s="583"/>
      <c r="G246" s="583"/>
      <c r="H246" s="583"/>
      <c r="I246" s="583"/>
      <c r="J246" s="583"/>
      <c r="K246" s="583"/>
      <c r="L246" s="584"/>
      <c r="M246" s="152"/>
      <c r="O246" s="154"/>
      <c r="P246" s="154"/>
    </row>
    <row r="247" spans="1:16" s="3" customFormat="1" x14ac:dyDescent="0.25">
      <c r="A247" s="12"/>
      <c r="B247" s="582"/>
      <c r="C247" s="583"/>
      <c r="D247" s="583"/>
      <c r="E247" s="583"/>
      <c r="F247" s="583"/>
      <c r="G247" s="583"/>
      <c r="H247" s="583"/>
      <c r="I247" s="583"/>
      <c r="J247" s="583"/>
      <c r="K247" s="583"/>
      <c r="L247" s="584"/>
      <c r="M247" s="152"/>
      <c r="O247" s="154"/>
      <c r="P247" s="154"/>
    </row>
    <row r="248" spans="1:16" s="3" customFormat="1" x14ac:dyDescent="0.25">
      <c r="A248" s="12"/>
      <c r="B248" s="582"/>
      <c r="C248" s="583"/>
      <c r="D248" s="583"/>
      <c r="E248" s="583"/>
      <c r="F248" s="583"/>
      <c r="G248" s="583"/>
      <c r="H248" s="583"/>
      <c r="I248" s="583"/>
      <c r="J248" s="583"/>
      <c r="K248" s="583"/>
      <c r="L248" s="584"/>
      <c r="M248" s="152"/>
      <c r="O248" s="154"/>
      <c r="P248" s="154"/>
    </row>
    <row r="249" spans="1:16" s="3" customFormat="1" x14ac:dyDescent="0.25">
      <c r="A249" s="12"/>
      <c r="B249" s="582"/>
      <c r="C249" s="583"/>
      <c r="D249" s="583"/>
      <c r="E249" s="583"/>
      <c r="F249" s="583"/>
      <c r="G249" s="583"/>
      <c r="H249" s="583"/>
      <c r="I249" s="583"/>
      <c r="J249" s="583"/>
      <c r="K249" s="583"/>
      <c r="L249" s="584"/>
      <c r="M249" s="152"/>
      <c r="O249" s="154"/>
      <c r="P249" s="154"/>
    </row>
    <row r="250" spans="1:16" s="3" customFormat="1" x14ac:dyDescent="0.25">
      <c r="A250" s="12"/>
      <c r="B250" s="582"/>
      <c r="C250" s="583"/>
      <c r="D250" s="583"/>
      <c r="E250" s="583"/>
      <c r="F250" s="583"/>
      <c r="G250" s="583"/>
      <c r="H250" s="583"/>
      <c r="I250" s="583"/>
      <c r="J250" s="583"/>
      <c r="K250" s="583"/>
      <c r="L250" s="584"/>
      <c r="M250" s="152"/>
      <c r="O250" s="154"/>
      <c r="P250" s="154"/>
    </row>
    <row r="251" spans="1:16" s="3" customFormat="1" x14ac:dyDescent="0.25">
      <c r="A251" s="12"/>
      <c r="B251" s="582"/>
      <c r="C251" s="583"/>
      <c r="D251" s="583"/>
      <c r="E251" s="583"/>
      <c r="F251" s="583"/>
      <c r="G251" s="583"/>
      <c r="H251" s="583"/>
      <c r="I251" s="583"/>
      <c r="J251" s="583"/>
      <c r="K251" s="583"/>
      <c r="L251" s="584"/>
      <c r="M251" s="152"/>
      <c r="O251" s="154"/>
      <c r="P251" s="154"/>
    </row>
    <row r="252" spans="1:16" s="3" customFormat="1" x14ac:dyDescent="0.25">
      <c r="A252" s="12"/>
      <c r="B252" s="582"/>
      <c r="C252" s="583"/>
      <c r="D252" s="583"/>
      <c r="E252" s="583"/>
      <c r="F252" s="583"/>
      <c r="G252" s="583"/>
      <c r="H252" s="583"/>
      <c r="I252" s="583"/>
      <c r="J252" s="583"/>
      <c r="K252" s="583"/>
      <c r="L252" s="584"/>
      <c r="M252" s="152"/>
      <c r="O252" s="154"/>
      <c r="P252" s="154"/>
    </row>
    <row r="253" spans="1:16" s="152" customFormat="1" x14ac:dyDescent="0.25">
      <c r="A253" s="173"/>
      <c r="B253" s="187"/>
      <c r="C253" s="188"/>
      <c r="D253" s="188"/>
      <c r="E253" s="188"/>
      <c r="F253" s="188"/>
      <c r="G253" s="188"/>
      <c r="H253" s="188"/>
      <c r="I253" s="188"/>
      <c r="J253" s="188"/>
      <c r="K253" s="188"/>
      <c r="L253" s="186"/>
      <c r="O253" s="9"/>
      <c r="P253" s="9"/>
    </row>
    <row r="254" spans="1:16" s="3" customFormat="1" x14ac:dyDescent="0.25">
      <c r="A254" s="12"/>
      <c r="B254" s="585" t="s">
        <v>39</v>
      </c>
      <c r="C254" s="586"/>
      <c r="D254" s="586"/>
      <c r="E254" s="586"/>
      <c r="F254" s="586"/>
      <c r="G254" s="586"/>
      <c r="H254" s="586"/>
      <c r="I254" s="586"/>
      <c r="J254" s="586"/>
      <c r="K254" s="586"/>
      <c r="L254" s="587"/>
      <c r="M254" s="168"/>
      <c r="O254" s="154"/>
      <c r="P254" s="154"/>
    </row>
    <row r="255" spans="1:16" s="152" customFormat="1" x14ac:dyDescent="0.25">
      <c r="A255" s="173"/>
      <c r="B255" s="185"/>
      <c r="C255" s="174"/>
      <c r="D255" s="174"/>
      <c r="E255" s="174"/>
      <c r="F255" s="174"/>
      <c r="G255" s="174"/>
      <c r="H255" s="174"/>
      <c r="I255" s="174"/>
      <c r="J255" s="174"/>
      <c r="K255" s="174"/>
      <c r="L255" s="175"/>
      <c r="O255" s="9"/>
      <c r="P255" s="9"/>
    </row>
    <row r="256" spans="1:16" s="152" customFormat="1" x14ac:dyDescent="0.25">
      <c r="A256" s="173"/>
      <c r="B256" s="456" t="str">
        <f>IF(Intro!$G$21="English",O256,P256)</f>
        <v>Quels ont été les principaux facteurs affectant la demande des marchandises depuis le 1er janvier 2023 (par exemple, les préférences des utilisateurs, la politique gouvernementale, les conditions économiques, le taux de change)?</v>
      </c>
      <c r="C256" s="457"/>
      <c r="D256" s="457"/>
      <c r="E256" s="457"/>
      <c r="F256" s="457"/>
      <c r="G256" s="457"/>
      <c r="H256" s="457"/>
      <c r="I256" s="457"/>
      <c r="J256" s="457"/>
      <c r="K256" s="457"/>
      <c r="L256" s="458"/>
      <c r="O256" s="9" t="s">
        <v>1059</v>
      </c>
      <c r="P256" s="9" t="str">
        <f>"Quels ont été les principaux facteurs affectant la demande des marchandises depuis le 1er janvier 2023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257" spans="1:16" s="152" customFormat="1" x14ac:dyDescent="0.25">
      <c r="A257" s="173"/>
      <c r="B257" s="456"/>
      <c r="C257" s="457"/>
      <c r="D257" s="457"/>
      <c r="E257" s="457"/>
      <c r="F257" s="457"/>
      <c r="G257" s="457"/>
      <c r="H257" s="457"/>
      <c r="I257" s="457"/>
      <c r="J257" s="457"/>
      <c r="K257" s="457"/>
      <c r="L257" s="458"/>
      <c r="O257" s="9"/>
      <c r="P257" s="9"/>
    </row>
    <row r="258" spans="1:16" s="3" customFormat="1" x14ac:dyDescent="0.25">
      <c r="A258" s="12"/>
      <c r="B258" s="582"/>
      <c r="C258" s="583"/>
      <c r="D258" s="583"/>
      <c r="E258" s="583"/>
      <c r="F258" s="583"/>
      <c r="G258" s="583"/>
      <c r="H258" s="583"/>
      <c r="I258" s="583"/>
      <c r="J258" s="583"/>
      <c r="K258" s="583"/>
      <c r="L258" s="584"/>
      <c r="M258" s="152"/>
      <c r="O258" s="154"/>
      <c r="P258" s="154"/>
    </row>
    <row r="259" spans="1:16" s="3" customFormat="1" x14ac:dyDescent="0.25">
      <c r="A259" s="12"/>
      <c r="B259" s="582"/>
      <c r="C259" s="583"/>
      <c r="D259" s="583"/>
      <c r="E259" s="583"/>
      <c r="F259" s="583"/>
      <c r="G259" s="583"/>
      <c r="H259" s="583"/>
      <c r="I259" s="583"/>
      <c r="J259" s="583"/>
      <c r="K259" s="583"/>
      <c r="L259" s="584"/>
      <c r="M259" s="152"/>
      <c r="O259" s="154"/>
      <c r="P259" s="154"/>
    </row>
    <row r="260" spans="1:16" s="3" customFormat="1" x14ac:dyDescent="0.25">
      <c r="A260" s="12"/>
      <c r="B260" s="582"/>
      <c r="C260" s="583"/>
      <c r="D260" s="583"/>
      <c r="E260" s="583"/>
      <c r="F260" s="583"/>
      <c r="G260" s="583"/>
      <c r="H260" s="583"/>
      <c r="I260" s="583"/>
      <c r="J260" s="583"/>
      <c r="K260" s="583"/>
      <c r="L260" s="584"/>
      <c r="M260" s="152"/>
      <c r="O260" s="154"/>
      <c r="P260" s="154"/>
    </row>
    <row r="261" spans="1:16" s="3" customFormat="1" x14ac:dyDescent="0.25">
      <c r="A261" s="12"/>
      <c r="B261" s="582"/>
      <c r="C261" s="583"/>
      <c r="D261" s="583"/>
      <c r="E261" s="583"/>
      <c r="F261" s="583"/>
      <c r="G261" s="583"/>
      <c r="H261" s="583"/>
      <c r="I261" s="583"/>
      <c r="J261" s="583"/>
      <c r="K261" s="583"/>
      <c r="L261" s="584"/>
      <c r="M261" s="152"/>
      <c r="O261" s="154"/>
      <c r="P261" s="154"/>
    </row>
    <row r="262" spans="1:16" s="3" customFormat="1" x14ac:dyDescent="0.25">
      <c r="A262" s="12"/>
      <c r="B262" s="582"/>
      <c r="C262" s="583"/>
      <c r="D262" s="583"/>
      <c r="E262" s="583"/>
      <c r="F262" s="583"/>
      <c r="G262" s="583"/>
      <c r="H262" s="583"/>
      <c r="I262" s="583"/>
      <c r="J262" s="583"/>
      <c r="K262" s="583"/>
      <c r="L262" s="584"/>
      <c r="M262" s="152"/>
      <c r="O262" s="154"/>
      <c r="P262" s="154"/>
    </row>
    <row r="263" spans="1:16" s="3" customFormat="1" x14ac:dyDescent="0.25">
      <c r="A263" s="12"/>
      <c r="B263" s="582"/>
      <c r="C263" s="583"/>
      <c r="D263" s="583"/>
      <c r="E263" s="583"/>
      <c r="F263" s="583"/>
      <c r="G263" s="583"/>
      <c r="H263" s="583"/>
      <c r="I263" s="583"/>
      <c r="J263" s="583"/>
      <c r="K263" s="583"/>
      <c r="L263" s="584"/>
      <c r="M263" s="152"/>
      <c r="O263" s="154"/>
      <c r="P263" s="154"/>
    </row>
    <row r="264" spans="1:16" s="3" customFormat="1" x14ac:dyDescent="0.25">
      <c r="A264" s="12"/>
      <c r="B264" s="582"/>
      <c r="C264" s="583"/>
      <c r="D264" s="583"/>
      <c r="E264" s="583"/>
      <c r="F264" s="583"/>
      <c r="G264" s="583"/>
      <c r="H264" s="583"/>
      <c r="I264" s="583"/>
      <c r="J264" s="583"/>
      <c r="K264" s="583"/>
      <c r="L264" s="584"/>
      <c r="M264" s="152"/>
      <c r="O264" s="154"/>
      <c r="P264" s="154"/>
    </row>
    <row r="265" spans="1:16" s="3" customFormat="1" x14ac:dyDescent="0.25">
      <c r="A265" s="12"/>
      <c r="B265" s="582"/>
      <c r="C265" s="583"/>
      <c r="D265" s="583"/>
      <c r="E265" s="583"/>
      <c r="F265" s="583"/>
      <c r="G265" s="583"/>
      <c r="H265" s="583"/>
      <c r="I265" s="583"/>
      <c r="J265" s="583"/>
      <c r="K265" s="583"/>
      <c r="L265" s="584"/>
      <c r="M265" s="152"/>
      <c r="O265" s="154"/>
      <c r="P265" s="154"/>
    </row>
    <row r="266" spans="1:16" s="3" customFormat="1" x14ac:dyDescent="0.25">
      <c r="A266" s="12"/>
      <c r="B266" s="585" t="s">
        <v>294</v>
      </c>
      <c r="C266" s="586"/>
      <c r="D266" s="586"/>
      <c r="E266" s="586"/>
      <c r="F266" s="586"/>
      <c r="G266" s="586"/>
      <c r="H266" s="586"/>
      <c r="I266" s="586"/>
      <c r="J266" s="586"/>
      <c r="K266" s="586"/>
      <c r="L266" s="587"/>
      <c r="M266" s="168"/>
      <c r="O266" s="154"/>
      <c r="P266" s="154"/>
    </row>
    <row r="267" spans="1:16" s="152" customFormat="1" x14ac:dyDescent="0.25">
      <c r="A267" s="173"/>
      <c r="B267" s="185"/>
      <c r="C267" s="174"/>
      <c r="D267" s="174"/>
      <c r="E267" s="174"/>
      <c r="F267" s="174"/>
      <c r="G267" s="174"/>
      <c r="H267" s="174"/>
      <c r="I267" s="174"/>
      <c r="J267" s="174"/>
      <c r="K267" s="174"/>
      <c r="L267" s="175"/>
      <c r="O267" s="9"/>
      <c r="P267" s="9"/>
    </row>
    <row r="268" spans="1:16" s="152" customFormat="1" x14ac:dyDescent="0.25">
      <c r="A268" s="173"/>
      <c r="B268" s="456" t="str">
        <f>IF(Intro!$G$21="English",O268,P268)</f>
        <v>La stratégie d'exportation de votre entreprise pour ces marchandises a-t-elle changé depuis janvier 2023 ?</v>
      </c>
      <c r="C268" s="457"/>
      <c r="D268" s="457"/>
      <c r="E268" s="457"/>
      <c r="F268" s="457"/>
      <c r="G268" s="457"/>
      <c r="H268" s="457"/>
      <c r="I268" s="457"/>
      <c r="J268" s="457"/>
      <c r="K268" s="457"/>
      <c r="L268" s="458"/>
      <c r="O268" s="9" t="s">
        <v>1061</v>
      </c>
      <c r="P268" s="9" t="s">
        <v>1060</v>
      </c>
    </row>
    <row r="269" spans="1:16" s="152" customFormat="1" x14ac:dyDescent="0.25">
      <c r="A269" s="173"/>
      <c r="B269" s="456"/>
      <c r="C269" s="457"/>
      <c r="D269" s="457"/>
      <c r="E269" s="457"/>
      <c r="F269" s="457"/>
      <c r="G269" s="457"/>
      <c r="H269" s="457"/>
      <c r="I269" s="457"/>
      <c r="J269" s="457"/>
      <c r="K269" s="457"/>
      <c r="L269" s="458"/>
      <c r="O269" s="9"/>
      <c r="P269" s="9"/>
    </row>
    <row r="270" spans="1:16" s="3" customFormat="1" x14ac:dyDescent="0.25">
      <c r="A270" s="12"/>
      <c r="B270" s="582"/>
      <c r="C270" s="583"/>
      <c r="D270" s="583"/>
      <c r="E270" s="583"/>
      <c r="F270" s="583"/>
      <c r="G270" s="583"/>
      <c r="H270" s="583"/>
      <c r="I270" s="583"/>
      <c r="J270" s="583"/>
      <c r="K270" s="583"/>
      <c r="L270" s="584"/>
      <c r="M270" s="152"/>
      <c r="O270" s="154"/>
      <c r="P270" s="154"/>
    </row>
    <row r="271" spans="1:16" s="3" customFormat="1" x14ac:dyDescent="0.25">
      <c r="A271" s="12"/>
      <c r="B271" s="582"/>
      <c r="C271" s="583"/>
      <c r="D271" s="583"/>
      <c r="E271" s="583"/>
      <c r="F271" s="583"/>
      <c r="G271" s="583"/>
      <c r="H271" s="583"/>
      <c r="I271" s="583"/>
      <c r="J271" s="583"/>
      <c r="K271" s="583"/>
      <c r="L271" s="584"/>
      <c r="M271" s="152"/>
      <c r="O271" s="154"/>
      <c r="P271" s="154"/>
    </row>
    <row r="272" spans="1:16" s="3" customFormat="1" x14ac:dyDescent="0.25">
      <c r="A272" s="12"/>
      <c r="B272" s="582"/>
      <c r="C272" s="583"/>
      <c r="D272" s="583"/>
      <c r="E272" s="583"/>
      <c r="F272" s="583"/>
      <c r="G272" s="583"/>
      <c r="H272" s="583"/>
      <c r="I272" s="583"/>
      <c r="J272" s="583"/>
      <c r="K272" s="583"/>
      <c r="L272" s="584"/>
      <c r="M272" s="152"/>
      <c r="O272" s="154"/>
      <c r="P272" s="154"/>
    </row>
    <row r="273" spans="1:16" s="3" customFormat="1" x14ac:dyDescent="0.25">
      <c r="A273" s="12"/>
      <c r="B273" s="582"/>
      <c r="C273" s="583"/>
      <c r="D273" s="583"/>
      <c r="E273" s="583"/>
      <c r="F273" s="583"/>
      <c r="G273" s="583"/>
      <c r="H273" s="583"/>
      <c r="I273" s="583"/>
      <c r="J273" s="583"/>
      <c r="K273" s="583"/>
      <c r="L273" s="584"/>
      <c r="M273" s="152"/>
      <c r="O273" s="154"/>
      <c r="P273" s="154"/>
    </row>
    <row r="274" spans="1:16" s="3" customFormat="1" x14ac:dyDescent="0.25">
      <c r="A274" s="12"/>
      <c r="B274" s="582"/>
      <c r="C274" s="583"/>
      <c r="D274" s="583"/>
      <c r="E274" s="583"/>
      <c r="F274" s="583"/>
      <c r="G274" s="583"/>
      <c r="H274" s="583"/>
      <c r="I274" s="583"/>
      <c r="J274" s="583"/>
      <c r="K274" s="583"/>
      <c r="L274" s="584"/>
      <c r="M274" s="152"/>
      <c r="O274" s="154"/>
      <c r="P274" s="154"/>
    </row>
    <row r="275" spans="1:16" s="3" customFormat="1" x14ac:dyDescent="0.25">
      <c r="A275" s="12"/>
      <c r="B275" s="582"/>
      <c r="C275" s="583"/>
      <c r="D275" s="583"/>
      <c r="E275" s="583"/>
      <c r="F275" s="583"/>
      <c r="G275" s="583"/>
      <c r="H275" s="583"/>
      <c r="I275" s="583"/>
      <c r="J275" s="583"/>
      <c r="K275" s="583"/>
      <c r="L275" s="584"/>
      <c r="M275" s="152"/>
      <c r="O275" s="154"/>
      <c r="P275" s="154"/>
    </row>
    <row r="276" spans="1:16" s="3" customFormat="1" x14ac:dyDescent="0.25">
      <c r="A276" s="12"/>
      <c r="B276" s="582"/>
      <c r="C276" s="583"/>
      <c r="D276" s="583"/>
      <c r="E276" s="583"/>
      <c r="F276" s="583"/>
      <c r="G276" s="583"/>
      <c r="H276" s="583"/>
      <c r="I276" s="583"/>
      <c r="J276" s="583"/>
      <c r="K276" s="583"/>
      <c r="L276" s="584"/>
      <c r="M276" s="152"/>
      <c r="O276" s="154"/>
      <c r="P276" s="154"/>
    </row>
    <row r="277" spans="1:16" s="3" customFormat="1" x14ac:dyDescent="0.25">
      <c r="A277" s="12"/>
      <c r="B277" s="582"/>
      <c r="C277" s="583"/>
      <c r="D277" s="583"/>
      <c r="E277" s="583"/>
      <c r="F277" s="583"/>
      <c r="G277" s="583"/>
      <c r="H277" s="583"/>
      <c r="I277" s="583"/>
      <c r="J277" s="583"/>
      <c r="K277" s="583"/>
      <c r="L277" s="584"/>
      <c r="M277" s="152"/>
      <c r="O277" s="154"/>
      <c r="P277" s="154"/>
    </row>
    <row r="278" spans="1:16" s="3" customFormat="1" x14ac:dyDescent="0.25">
      <c r="A278" s="12"/>
      <c r="B278" s="585" t="s">
        <v>295</v>
      </c>
      <c r="C278" s="586"/>
      <c r="D278" s="586"/>
      <c r="E278" s="586"/>
      <c r="F278" s="586"/>
      <c r="G278" s="586"/>
      <c r="H278" s="586"/>
      <c r="I278" s="586"/>
      <c r="J278" s="586"/>
      <c r="K278" s="586"/>
      <c r="L278" s="587"/>
      <c r="M278" s="168"/>
      <c r="O278" s="154"/>
      <c r="P278" s="154"/>
    </row>
    <row r="279" spans="1:16" s="152" customFormat="1" x14ac:dyDescent="0.25">
      <c r="A279" s="173"/>
      <c r="B279" s="185"/>
      <c r="C279" s="174"/>
      <c r="D279" s="174"/>
      <c r="E279" s="174"/>
      <c r="F279" s="174"/>
      <c r="G279" s="174"/>
      <c r="H279" s="174"/>
      <c r="I279" s="174"/>
      <c r="J279" s="174"/>
      <c r="K279" s="174"/>
      <c r="L279" s="175"/>
      <c r="O279" s="9"/>
      <c r="P279" s="9"/>
    </row>
    <row r="280" spans="1:16" s="152" customFormat="1" x14ac:dyDescent="0.25">
      <c r="A280" s="173"/>
      <c r="B280" s="579" t="str">
        <f>IF(Intro!$G$21="English",O280,P280)</f>
        <v>Décrivez tout changement technologique qui a eu une incidence sur le marché canadien des marchandises depuis le 1er janvier 2023.</v>
      </c>
      <c r="C280" s="580"/>
      <c r="D280" s="580"/>
      <c r="E280" s="580"/>
      <c r="F280" s="580"/>
      <c r="G280" s="580"/>
      <c r="H280" s="580"/>
      <c r="I280" s="580"/>
      <c r="J280" s="580"/>
      <c r="K280" s="580"/>
      <c r="L280" s="581"/>
      <c r="O280" s="9" t="str">
        <f>"Describe any changes in technology that have impacted the Canadian market for the goods since January 1, "&amp;Variables!B6&amp;"."</f>
        <v>Describe any changes in technology that have impacted the Canadian market for the goods since January 1, 2023.</v>
      </c>
      <c r="P280"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81" spans="1:16" s="152" customFormat="1" x14ac:dyDescent="0.25">
      <c r="A281" s="173"/>
      <c r="B281" s="185"/>
      <c r="C281" s="174"/>
      <c r="D281" s="174"/>
      <c r="E281" s="174"/>
      <c r="F281" s="174"/>
      <c r="G281" s="174"/>
      <c r="H281" s="174"/>
      <c r="I281" s="174"/>
      <c r="J281" s="174"/>
      <c r="K281" s="174"/>
      <c r="L281" s="175"/>
      <c r="O281" s="9"/>
      <c r="P281" s="9"/>
    </row>
    <row r="282" spans="1:16" s="3" customFormat="1" x14ac:dyDescent="0.25">
      <c r="A282" s="12"/>
      <c r="B282" s="582"/>
      <c r="C282" s="583"/>
      <c r="D282" s="583"/>
      <c r="E282" s="583"/>
      <c r="F282" s="583"/>
      <c r="G282" s="583"/>
      <c r="H282" s="583"/>
      <c r="I282" s="583"/>
      <c r="J282" s="583"/>
      <c r="K282" s="583"/>
      <c r="L282" s="584"/>
      <c r="M282" s="152"/>
      <c r="O282" s="154"/>
      <c r="P282" s="154"/>
    </row>
    <row r="283" spans="1:16" s="3" customFormat="1" x14ac:dyDescent="0.25">
      <c r="A283" s="12"/>
      <c r="B283" s="582"/>
      <c r="C283" s="583"/>
      <c r="D283" s="583"/>
      <c r="E283" s="583"/>
      <c r="F283" s="583"/>
      <c r="G283" s="583"/>
      <c r="H283" s="583"/>
      <c r="I283" s="583"/>
      <c r="J283" s="583"/>
      <c r="K283" s="583"/>
      <c r="L283" s="584"/>
      <c r="M283" s="152"/>
      <c r="O283" s="154"/>
      <c r="P283" s="154"/>
    </row>
    <row r="284" spans="1:16" s="3" customFormat="1" x14ac:dyDescent="0.25">
      <c r="A284" s="12"/>
      <c r="B284" s="582"/>
      <c r="C284" s="583"/>
      <c r="D284" s="583"/>
      <c r="E284" s="583"/>
      <c r="F284" s="583"/>
      <c r="G284" s="583"/>
      <c r="H284" s="583"/>
      <c r="I284" s="583"/>
      <c r="J284" s="583"/>
      <c r="K284" s="583"/>
      <c r="L284" s="584"/>
      <c r="M284" s="152"/>
      <c r="O284" s="154"/>
      <c r="P284" s="154"/>
    </row>
    <row r="285" spans="1:16" s="3" customFormat="1" x14ac:dyDescent="0.25">
      <c r="A285" s="12"/>
      <c r="B285" s="582"/>
      <c r="C285" s="583"/>
      <c r="D285" s="583"/>
      <c r="E285" s="583"/>
      <c r="F285" s="583"/>
      <c r="G285" s="583"/>
      <c r="H285" s="583"/>
      <c r="I285" s="583"/>
      <c r="J285" s="583"/>
      <c r="K285" s="583"/>
      <c r="L285" s="584"/>
      <c r="M285" s="152"/>
      <c r="O285" s="154"/>
      <c r="P285" s="154"/>
    </row>
    <row r="286" spans="1:16" s="3" customFormat="1" x14ac:dyDescent="0.25">
      <c r="A286" s="12"/>
      <c r="B286" s="582"/>
      <c r="C286" s="583"/>
      <c r="D286" s="583"/>
      <c r="E286" s="583"/>
      <c r="F286" s="583"/>
      <c r="G286" s="583"/>
      <c r="H286" s="583"/>
      <c r="I286" s="583"/>
      <c r="J286" s="583"/>
      <c r="K286" s="583"/>
      <c r="L286" s="584"/>
      <c r="M286" s="152"/>
      <c r="O286" s="154"/>
      <c r="P286" s="154"/>
    </row>
    <row r="287" spans="1:16" s="3" customFormat="1" x14ac:dyDescent="0.25">
      <c r="A287" s="12"/>
      <c r="B287" s="582"/>
      <c r="C287" s="583"/>
      <c r="D287" s="583"/>
      <c r="E287" s="583"/>
      <c r="F287" s="583"/>
      <c r="G287" s="583"/>
      <c r="H287" s="583"/>
      <c r="I287" s="583"/>
      <c r="J287" s="583"/>
      <c r="K287" s="583"/>
      <c r="L287" s="584"/>
      <c r="M287" s="152"/>
      <c r="O287" s="154"/>
      <c r="P287" s="154"/>
    </row>
    <row r="288" spans="1:16" s="3" customFormat="1" x14ac:dyDescent="0.25">
      <c r="A288" s="12"/>
      <c r="B288" s="582"/>
      <c r="C288" s="583"/>
      <c r="D288" s="583"/>
      <c r="E288" s="583"/>
      <c r="F288" s="583"/>
      <c r="G288" s="583"/>
      <c r="H288" s="583"/>
      <c r="I288" s="583"/>
      <c r="J288" s="583"/>
      <c r="K288" s="583"/>
      <c r="L288" s="584"/>
      <c r="M288" s="152"/>
      <c r="O288" s="154"/>
      <c r="P288" s="154"/>
    </row>
    <row r="289" spans="1:16" s="3" customFormat="1" x14ac:dyDescent="0.25">
      <c r="A289" s="12"/>
      <c r="B289" s="582"/>
      <c r="C289" s="583"/>
      <c r="D289" s="583"/>
      <c r="E289" s="583"/>
      <c r="F289" s="583"/>
      <c r="G289" s="583"/>
      <c r="H289" s="583"/>
      <c r="I289" s="583"/>
      <c r="J289" s="583"/>
      <c r="K289" s="583"/>
      <c r="L289" s="584"/>
      <c r="M289" s="152"/>
      <c r="O289" s="154"/>
      <c r="P289" s="154"/>
    </row>
    <row r="290" spans="1:16" s="152" customFormat="1" x14ac:dyDescent="0.25">
      <c r="A290" s="173"/>
      <c r="B290" s="187"/>
      <c r="C290" s="188"/>
      <c r="D290" s="188"/>
      <c r="E290" s="188"/>
      <c r="F290" s="188"/>
      <c r="G290" s="188"/>
      <c r="H290" s="188"/>
      <c r="I290" s="188"/>
      <c r="J290" s="188"/>
      <c r="K290" s="188"/>
      <c r="L290" s="186"/>
      <c r="O290" s="9"/>
      <c r="P290" s="9"/>
    </row>
    <row r="291" spans="1:16" s="3" customFormat="1" x14ac:dyDescent="0.25">
      <c r="A291" s="12"/>
      <c r="B291" s="585" t="s">
        <v>296</v>
      </c>
      <c r="C291" s="586"/>
      <c r="D291" s="586"/>
      <c r="E291" s="586"/>
      <c r="F291" s="586"/>
      <c r="G291" s="586"/>
      <c r="H291" s="586"/>
      <c r="I291" s="586"/>
      <c r="J291" s="586"/>
      <c r="K291" s="586"/>
      <c r="L291" s="587"/>
      <c r="M291" s="168"/>
      <c r="O291" s="154"/>
      <c r="P291" s="154"/>
    </row>
    <row r="292" spans="1:16" s="152" customFormat="1" x14ac:dyDescent="0.25">
      <c r="A292" s="173"/>
      <c r="B292" s="185"/>
      <c r="C292" s="174"/>
      <c r="D292" s="174"/>
      <c r="E292" s="174"/>
      <c r="F292" s="174"/>
      <c r="G292" s="174"/>
      <c r="H292" s="174"/>
      <c r="I292" s="174"/>
      <c r="J292" s="174"/>
      <c r="K292" s="174"/>
      <c r="L292" s="175"/>
      <c r="O292" s="9"/>
      <c r="P292" s="9"/>
    </row>
    <row r="293" spans="1:16" s="152" customFormat="1" x14ac:dyDescent="0.25">
      <c r="A293" s="173"/>
      <c r="B293" s="475" t="str">
        <f>IF(Intro!$G$21="English",O293,P293)</f>
        <v>Expliquez les circonstances dans lesquelles les acheteurs canadiens sont prêts à payer une prime pour les marchandises produites au Canada. Quel serait le montant de cette prime?</v>
      </c>
      <c r="C293" s="476"/>
      <c r="D293" s="476"/>
      <c r="E293" s="476"/>
      <c r="F293" s="476"/>
      <c r="G293" s="476"/>
      <c r="H293" s="476"/>
      <c r="I293" s="476"/>
      <c r="J293" s="476"/>
      <c r="K293" s="476"/>
      <c r="L293" s="477"/>
      <c r="O293" s="9" t="s">
        <v>346</v>
      </c>
      <c r="P293" s="9" t="s">
        <v>410</v>
      </c>
    </row>
    <row r="294" spans="1:16" s="152" customFormat="1" x14ac:dyDescent="0.25">
      <c r="A294" s="173"/>
      <c r="B294" s="475"/>
      <c r="C294" s="476"/>
      <c r="D294" s="476"/>
      <c r="E294" s="476"/>
      <c r="F294" s="476"/>
      <c r="G294" s="476"/>
      <c r="H294" s="476"/>
      <c r="I294" s="476"/>
      <c r="J294" s="476"/>
      <c r="K294" s="476"/>
      <c r="L294" s="477"/>
      <c r="O294" s="9"/>
      <c r="P294" s="9"/>
    </row>
    <row r="295" spans="1:16" s="152" customFormat="1" x14ac:dyDescent="0.25">
      <c r="A295" s="173"/>
      <c r="B295" s="185"/>
      <c r="C295" s="174"/>
      <c r="D295" s="174"/>
      <c r="E295" s="174"/>
      <c r="F295" s="174"/>
      <c r="G295" s="174"/>
      <c r="H295" s="174"/>
      <c r="I295" s="174"/>
      <c r="J295" s="174"/>
      <c r="K295" s="174"/>
      <c r="L295" s="175"/>
      <c r="O295" s="9"/>
      <c r="P295" s="9"/>
    </row>
    <row r="296" spans="1:16" x14ac:dyDescent="0.25">
      <c r="B296" s="473" t="str">
        <f>IF(Intro!$G$21="English",O296,P296)</f>
        <v xml:space="preserve"> Majoration du prix</v>
      </c>
      <c r="C296" s="474"/>
      <c r="D296" s="206" t="s">
        <v>188</v>
      </c>
      <c r="E296" s="207"/>
      <c r="F296" s="174"/>
      <c r="G296" s="174"/>
      <c r="H296" s="174"/>
      <c r="I296" s="174"/>
      <c r="J296" s="174"/>
      <c r="K296" s="174"/>
      <c r="L296" s="175"/>
      <c r="M296" s="2"/>
      <c r="O296" s="9" t="s">
        <v>292</v>
      </c>
      <c r="P296" s="9" t="s">
        <v>293</v>
      </c>
    </row>
    <row r="297" spans="1:16" s="152" customFormat="1" x14ac:dyDescent="0.25">
      <c r="A297" s="173"/>
      <c r="B297" s="185"/>
      <c r="C297" s="174"/>
      <c r="D297" s="174"/>
      <c r="E297" s="174"/>
      <c r="F297" s="174"/>
      <c r="G297" s="174"/>
      <c r="H297" s="174"/>
      <c r="I297" s="174"/>
      <c r="J297" s="174"/>
      <c r="K297" s="174"/>
      <c r="L297" s="175"/>
      <c r="O297" s="9"/>
      <c r="P297" s="9"/>
    </row>
    <row r="298" spans="1:16" s="3" customFormat="1" x14ac:dyDescent="0.25">
      <c r="A298" s="12"/>
      <c r="B298" s="582"/>
      <c r="C298" s="583"/>
      <c r="D298" s="583"/>
      <c r="E298" s="583"/>
      <c r="F298" s="583"/>
      <c r="G298" s="583"/>
      <c r="H298" s="583"/>
      <c r="I298" s="583"/>
      <c r="J298" s="583"/>
      <c r="K298" s="583"/>
      <c r="L298" s="584"/>
      <c r="M298" s="152"/>
      <c r="O298" s="154"/>
      <c r="P298" s="154"/>
    </row>
    <row r="299" spans="1:16" s="3" customFormat="1" x14ac:dyDescent="0.25">
      <c r="A299" s="12"/>
      <c r="B299" s="582"/>
      <c r="C299" s="583"/>
      <c r="D299" s="583"/>
      <c r="E299" s="583"/>
      <c r="F299" s="583"/>
      <c r="G299" s="583"/>
      <c r="H299" s="583"/>
      <c r="I299" s="583"/>
      <c r="J299" s="583"/>
      <c r="K299" s="583"/>
      <c r="L299" s="584"/>
      <c r="M299" s="152"/>
      <c r="O299" s="154"/>
      <c r="P299" s="154"/>
    </row>
    <row r="300" spans="1:16" s="3" customFormat="1" x14ac:dyDescent="0.25">
      <c r="A300" s="12"/>
      <c r="B300" s="582"/>
      <c r="C300" s="583"/>
      <c r="D300" s="583"/>
      <c r="E300" s="583"/>
      <c r="F300" s="583"/>
      <c r="G300" s="583"/>
      <c r="H300" s="583"/>
      <c r="I300" s="583"/>
      <c r="J300" s="583"/>
      <c r="K300" s="583"/>
      <c r="L300" s="584"/>
      <c r="M300" s="152"/>
      <c r="O300" s="154"/>
      <c r="P300" s="154"/>
    </row>
    <row r="301" spans="1:16" s="3" customFormat="1" x14ac:dyDescent="0.25">
      <c r="A301" s="12"/>
      <c r="B301" s="582"/>
      <c r="C301" s="583"/>
      <c r="D301" s="583"/>
      <c r="E301" s="583"/>
      <c r="F301" s="583"/>
      <c r="G301" s="583"/>
      <c r="H301" s="583"/>
      <c r="I301" s="583"/>
      <c r="J301" s="583"/>
      <c r="K301" s="583"/>
      <c r="L301" s="584"/>
      <c r="M301" s="152"/>
      <c r="O301" s="154"/>
      <c r="P301" s="154"/>
    </row>
    <row r="302" spans="1:16" s="3" customFormat="1" x14ac:dyDescent="0.25">
      <c r="A302" s="12"/>
      <c r="B302" s="582"/>
      <c r="C302" s="583"/>
      <c r="D302" s="583"/>
      <c r="E302" s="583"/>
      <c r="F302" s="583"/>
      <c r="G302" s="583"/>
      <c r="H302" s="583"/>
      <c r="I302" s="583"/>
      <c r="J302" s="583"/>
      <c r="K302" s="583"/>
      <c r="L302" s="584"/>
      <c r="M302" s="152"/>
      <c r="O302" s="154"/>
      <c r="P302" s="154"/>
    </row>
    <row r="303" spans="1:16" s="3" customFormat="1" x14ac:dyDescent="0.25">
      <c r="A303" s="12"/>
      <c r="B303" s="582"/>
      <c r="C303" s="583"/>
      <c r="D303" s="583"/>
      <c r="E303" s="583"/>
      <c r="F303" s="583"/>
      <c r="G303" s="583"/>
      <c r="H303" s="583"/>
      <c r="I303" s="583"/>
      <c r="J303" s="583"/>
      <c r="K303" s="583"/>
      <c r="L303" s="584"/>
      <c r="M303" s="152"/>
      <c r="O303" s="154"/>
      <c r="P303" s="154"/>
    </row>
    <row r="304" spans="1:16" s="3" customFormat="1" x14ac:dyDescent="0.25">
      <c r="A304" s="12"/>
      <c r="B304" s="582"/>
      <c r="C304" s="583"/>
      <c r="D304" s="583"/>
      <c r="E304" s="583"/>
      <c r="F304" s="583"/>
      <c r="G304" s="583"/>
      <c r="H304" s="583"/>
      <c r="I304" s="583"/>
      <c r="J304" s="583"/>
      <c r="K304" s="583"/>
      <c r="L304" s="584"/>
      <c r="M304" s="152"/>
      <c r="O304" s="154"/>
      <c r="P304" s="154"/>
    </row>
    <row r="305" spans="1:16" s="3" customFormat="1" x14ac:dyDescent="0.25">
      <c r="A305" s="12"/>
      <c r="B305" s="582"/>
      <c r="C305" s="583"/>
      <c r="D305" s="583"/>
      <c r="E305" s="583"/>
      <c r="F305" s="583"/>
      <c r="G305" s="583"/>
      <c r="H305" s="583"/>
      <c r="I305" s="583"/>
      <c r="J305" s="583"/>
      <c r="K305" s="583"/>
      <c r="L305" s="584"/>
      <c r="M305" s="152"/>
      <c r="O305" s="154"/>
      <c r="P305" s="154"/>
    </row>
    <row r="306" spans="1:16" s="152" customFormat="1" x14ac:dyDescent="0.25">
      <c r="A306" s="173"/>
      <c r="B306" s="579" t="str">
        <f>IF(Intro!$G$21="English",O306,P306)</f>
        <v>La prime  pour les marchandises produites au Canada a-t-elle varié à la suite d'efforts promotionnels visant à vendre ou à acheter des produits canadiens ?</v>
      </c>
      <c r="C306" s="580"/>
      <c r="D306" s="580"/>
      <c r="E306" s="580"/>
      <c r="F306" s="580"/>
      <c r="G306" s="580"/>
      <c r="H306" s="580"/>
      <c r="I306" s="580"/>
      <c r="J306" s="580"/>
      <c r="K306" s="580"/>
      <c r="L306" s="581"/>
      <c r="O306" s="9" t="s">
        <v>920</v>
      </c>
      <c r="P306" s="9" t="s">
        <v>919</v>
      </c>
    </row>
    <row r="307" spans="1:16" s="152" customFormat="1" x14ac:dyDescent="0.25">
      <c r="A307" s="173"/>
      <c r="B307" s="185"/>
      <c r="C307" s="174"/>
      <c r="D307" s="174"/>
      <c r="E307" s="174"/>
      <c r="F307" s="174"/>
      <c r="G307" s="174"/>
      <c r="H307" s="174"/>
      <c r="I307" s="174"/>
      <c r="J307" s="174"/>
      <c r="K307" s="174"/>
      <c r="L307" s="175"/>
      <c r="O307" s="9"/>
      <c r="P307" s="9"/>
    </row>
    <row r="308" spans="1:16" s="3" customFormat="1" x14ac:dyDescent="0.25">
      <c r="A308" s="12"/>
      <c r="B308" s="582"/>
      <c r="C308" s="583"/>
      <c r="D308" s="583"/>
      <c r="E308" s="583"/>
      <c r="F308" s="583"/>
      <c r="G308" s="583"/>
      <c r="H308" s="583"/>
      <c r="I308" s="583"/>
      <c r="J308" s="583"/>
      <c r="K308" s="583"/>
      <c r="L308" s="584"/>
      <c r="M308" s="152"/>
      <c r="O308" s="154"/>
      <c r="P308" s="154"/>
    </row>
    <row r="309" spans="1:16" s="3" customFormat="1" x14ac:dyDescent="0.25">
      <c r="A309" s="12"/>
      <c r="B309" s="582"/>
      <c r="C309" s="583"/>
      <c r="D309" s="583"/>
      <c r="E309" s="583"/>
      <c r="F309" s="583"/>
      <c r="G309" s="583"/>
      <c r="H309" s="583"/>
      <c r="I309" s="583"/>
      <c r="J309" s="583"/>
      <c r="K309" s="583"/>
      <c r="L309" s="584"/>
      <c r="M309" s="152"/>
      <c r="O309" s="154"/>
      <c r="P309" s="154"/>
    </row>
    <row r="310" spans="1:16" s="3" customFormat="1" x14ac:dyDescent="0.25">
      <c r="A310" s="12"/>
      <c r="B310" s="582"/>
      <c r="C310" s="583"/>
      <c r="D310" s="583"/>
      <c r="E310" s="583"/>
      <c r="F310" s="583"/>
      <c r="G310" s="583"/>
      <c r="H310" s="583"/>
      <c r="I310" s="583"/>
      <c r="J310" s="583"/>
      <c r="K310" s="583"/>
      <c r="L310" s="584"/>
      <c r="M310" s="152"/>
      <c r="O310" s="154"/>
      <c r="P310" s="154"/>
    </row>
    <row r="311" spans="1:16" s="3" customFormat="1" x14ac:dyDescent="0.25">
      <c r="A311" s="12"/>
      <c r="B311" s="582"/>
      <c r="C311" s="583"/>
      <c r="D311" s="583"/>
      <c r="E311" s="583"/>
      <c r="F311" s="583"/>
      <c r="G311" s="583"/>
      <c r="H311" s="583"/>
      <c r="I311" s="583"/>
      <c r="J311" s="583"/>
      <c r="K311" s="583"/>
      <c r="L311" s="584"/>
      <c r="M311" s="152"/>
      <c r="O311" s="154"/>
      <c r="P311" s="154"/>
    </row>
    <row r="312" spans="1:16" s="3" customFormat="1" x14ac:dyDescent="0.25">
      <c r="A312" s="12"/>
      <c r="B312" s="582"/>
      <c r="C312" s="583"/>
      <c r="D312" s="583"/>
      <c r="E312" s="583"/>
      <c r="F312" s="583"/>
      <c r="G312" s="583"/>
      <c r="H312" s="583"/>
      <c r="I312" s="583"/>
      <c r="J312" s="583"/>
      <c r="K312" s="583"/>
      <c r="L312" s="584"/>
      <c r="M312" s="152"/>
      <c r="O312" s="154"/>
      <c r="P312" s="154"/>
    </row>
    <row r="313" spans="1:16" s="3" customFormat="1" x14ac:dyDescent="0.25">
      <c r="A313" s="12"/>
      <c r="B313" s="582"/>
      <c r="C313" s="583"/>
      <c r="D313" s="583"/>
      <c r="E313" s="583"/>
      <c r="F313" s="583"/>
      <c r="G313" s="583"/>
      <c r="H313" s="583"/>
      <c r="I313" s="583"/>
      <c r="J313" s="583"/>
      <c r="K313" s="583"/>
      <c r="L313" s="584"/>
      <c r="M313" s="152"/>
      <c r="O313" s="154"/>
      <c r="P313" s="154"/>
    </row>
    <row r="314" spans="1:16" s="3" customFormat="1" x14ac:dyDescent="0.25">
      <c r="A314" s="12"/>
      <c r="B314" s="582"/>
      <c r="C314" s="583"/>
      <c r="D314" s="583"/>
      <c r="E314" s="583"/>
      <c r="F314" s="583"/>
      <c r="G314" s="583"/>
      <c r="H314" s="583"/>
      <c r="I314" s="583"/>
      <c r="J314" s="583"/>
      <c r="K314" s="583"/>
      <c r="L314" s="584"/>
      <c r="M314" s="152"/>
      <c r="O314" s="154"/>
      <c r="P314" s="154"/>
    </row>
    <row r="315" spans="1:16" s="3" customFormat="1" x14ac:dyDescent="0.25">
      <c r="A315" s="12"/>
      <c r="B315" s="582"/>
      <c r="C315" s="583"/>
      <c r="D315" s="583"/>
      <c r="E315" s="583"/>
      <c r="F315" s="583"/>
      <c r="G315" s="583"/>
      <c r="H315" s="583"/>
      <c r="I315" s="583"/>
      <c r="J315" s="583"/>
      <c r="K315" s="583"/>
      <c r="L315" s="584"/>
      <c r="M315" s="152"/>
      <c r="O315" s="154"/>
      <c r="P315" s="154"/>
    </row>
    <row r="316" spans="1:16" s="152" customFormat="1" x14ac:dyDescent="0.25">
      <c r="A316" s="173"/>
      <c r="B316" s="187"/>
      <c r="C316" s="188"/>
      <c r="D316" s="188"/>
      <c r="E316" s="188"/>
      <c r="F316" s="188"/>
      <c r="G316" s="188"/>
      <c r="H316" s="188"/>
      <c r="I316" s="188"/>
      <c r="J316" s="188"/>
      <c r="K316" s="188"/>
      <c r="L316" s="186"/>
      <c r="O316" s="9"/>
      <c r="P316" s="9"/>
    </row>
    <row r="317" spans="1:16" s="3" customFormat="1" x14ac:dyDescent="0.25">
      <c r="A317" s="12"/>
      <c r="B317" s="585" t="s">
        <v>297</v>
      </c>
      <c r="C317" s="586"/>
      <c r="D317" s="586"/>
      <c r="E317" s="586"/>
      <c r="F317" s="586"/>
      <c r="G317" s="586"/>
      <c r="H317" s="586"/>
      <c r="I317" s="586"/>
      <c r="J317" s="586"/>
      <c r="K317" s="586"/>
      <c r="L317" s="587"/>
      <c r="M317" s="168"/>
      <c r="O317" s="154"/>
      <c r="P317" s="154"/>
    </row>
    <row r="318" spans="1:16" s="152" customFormat="1" x14ac:dyDescent="0.25">
      <c r="A318" s="173"/>
      <c r="B318" s="185"/>
      <c r="C318" s="174"/>
      <c r="D318" s="174"/>
      <c r="E318" s="174"/>
      <c r="F318" s="174"/>
      <c r="G318" s="174"/>
      <c r="H318" s="174"/>
      <c r="I318" s="174"/>
      <c r="J318" s="174"/>
      <c r="K318" s="174"/>
      <c r="L318" s="175"/>
      <c r="O318" s="9"/>
      <c r="P318" s="9"/>
    </row>
    <row r="319" spans="1:16" s="152" customFormat="1" x14ac:dyDescent="0.25">
      <c r="A319" s="173"/>
      <c r="B319" s="579" t="str">
        <f>IF(Intro!$G$21="English",O319,P319)</f>
        <v>Dans quelle mesure les marchandises produites au Canada sont-elles interchangeables avec les marchandises importées de la Chine?</v>
      </c>
      <c r="C319" s="580"/>
      <c r="D319" s="580"/>
      <c r="E319" s="580"/>
      <c r="F319" s="580"/>
      <c r="G319" s="580"/>
      <c r="H319" s="580"/>
      <c r="I319" s="580"/>
      <c r="J319" s="580"/>
      <c r="K319" s="580"/>
      <c r="L319" s="581"/>
      <c r="O319" s="9" t="str">
        <f>"To what extent are the goods produced in Canada interchangeable with the goods imported from "&amp;Variables!B5&amp;"?"</f>
        <v>To what extent are the goods produced in Canada interchangeable with the goods imported from China?</v>
      </c>
      <c r="P319" s="9" t="str">
        <f>"Dans quelle mesure les marchandises produites au Canada sont-elles interchangeables avec les marchandises importées "&amp;Variables!C5&amp;"?"</f>
        <v>Dans quelle mesure les marchandises produites au Canada sont-elles interchangeables avec les marchandises importées de la Chine?</v>
      </c>
    </row>
    <row r="320" spans="1:16" s="152" customFormat="1" x14ac:dyDescent="0.25">
      <c r="A320" s="173"/>
      <c r="B320" s="185"/>
      <c r="C320" s="174"/>
      <c r="D320" s="174"/>
      <c r="E320" s="174"/>
      <c r="F320" s="174"/>
      <c r="G320" s="174"/>
      <c r="H320" s="174"/>
      <c r="I320" s="174"/>
      <c r="J320" s="174"/>
      <c r="K320" s="174"/>
      <c r="L320" s="175"/>
      <c r="O320" s="9"/>
      <c r="P320" s="9"/>
    </row>
    <row r="321" spans="1:16" s="3" customFormat="1" x14ac:dyDescent="0.25">
      <c r="A321" s="12"/>
      <c r="B321" s="582"/>
      <c r="C321" s="583"/>
      <c r="D321" s="583"/>
      <c r="E321" s="583"/>
      <c r="F321" s="583"/>
      <c r="G321" s="583"/>
      <c r="H321" s="583"/>
      <c r="I321" s="583"/>
      <c r="J321" s="583"/>
      <c r="K321" s="583"/>
      <c r="L321" s="584"/>
      <c r="M321" s="152"/>
      <c r="O321" s="154"/>
      <c r="P321" s="154"/>
    </row>
    <row r="322" spans="1:16" s="3" customFormat="1" x14ac:dyDescent="0.25">
      <c r="A322" s="12"/>
      <c r="B322" s="582"/>
      <c r="C322" s="583"/>
      <c r="D322" s="583"/>
      <c r="E322" s="583"/>
      <c r="F322" s="583"/>
      <c r="G322" s="583"/>
      <c r="H322" s="583"/>
      <c r="I322" s="583"/>
      <c r="J322" s="583"/>
      <c r="K322" s="583"/>
      <c r="L322" s="584"/>
      <c r="M322" s="152"/>
      <c r="O322" s="154"/>
      <c r="P322" s="154"/>
    </row>
    <row r="323" spans="1:16" s="3" customFormat="1" x14ac:dyDescent="0.25">
      <c r="A323" s="12"/>
      <c r="B323" s="582"/>
      <c r="C323" s="583"/>
      <c r="D323" s="583"/>
      <c r="E323" s="583"/>
      <c r="F323" s="583"/>
      <c r="G323" s="583"/>
      <c r="H323" s="583"/>
      <c r="I323" s="583"/>
      <c r="J323" s="583"/>
      <c r="K323" s="583"/>
      <c r="L323" s="584"/>
      <c r="M323" s="152"/>
      <c r="O323" s="154"/>
      <c r="P323" s="154"/>
    </row>
    <row r="324" spans="1:16" s="3" customFormat="1" x14ac:dyDescent="0.25">
      <c r="A324" s="12"/>
      <c r="B324" s="582"/>
      <c r="C324" s="583"/>
      <c r="D324" s="583"/>
      <c r="E324" s="583"/>
      <c r="F324" s="583"/>
      <c r="G324" s="583"/>
      <c r="H324" s="583"/>
      <c r="I324" s="583"/>
      <c r="J324" s="583"/>
      <c r="K324" s="583"/>
      <c r="L324" s="584"/>
      <c r="M324" s="152"/>
      <c r="O324" s="154"/>
      <c r="P324" s="154"/>
    </row>
    <row r="325" spans="1:16" s="3" customFormat="1" x14ac:dyDescent="0.25">
      <c r="A325" s="12"/>
      <c r="B325" s="582"/>
      <c r="C325" s="583"/>
      <c r="D325" s="583"/>
      <c r="E325" s="583"/>
      <c r="F325" s="583"/>
      <c r="G325" s="583"/>
      <c r="H325" s="583"/>
      <c r="I325" s="583"/>
      <c r="J325" s="583"/>
      <c r="K325" s="583"/>
      <c r="L325" s="584"/>
      <c r="M325" s="152"/>
      <c r="O325" s="154"/>
      <c r="P325" s="154"/>
    </row>
    <row r="326" spans="1:16" s="3" customFormat="1" x14ac:dyDescent="0.25">
      <c r="A326" s="12"/>
      <c r="B326" s="582"/>
      <c r="C326" s="583"/>
      <c r="D326" s="583"/>
      <c r="E326" s="583"/>
      <c r="F326" s="583"/>
      <c r="G326" s="583"/>
      <c r="H326" s="583"/>
      <c r="I326" s="583"/>
      <c r="J326" s="583"/>
      <c r="K326" s="583"/>
      <c r="L326" s="584"/>
      <c r="M326" s="152"/>
      <c r="O326" s="154"/>
      <c r="P326" s="154"/>
    </row>
    <row r="327" spans="1:16" s="3" customFormat="1" x14ac:dyDescent="0.25">
      <c r="A327" s="12"/>
      <c r="B327" s="582"/>
      <c r="C327" s="583"/>
      <c r="D327" s="583"/>
      <c r="E327" s="583"/>
      <c r="F327" s="583"/>
      <c r="G327" s="583"/>
      <c r="H327" s="583"/>
      <c r="I327" s="583"/>
      <c r="J327" s="583"/>
      <c r="K327" s="583"/>
      <c r="L327" s="584"/>
      <c r="M327" s="152"/>
      <c r="O327" s="154"/>
      <c r="P327" s="154"/>
    </row>
    <row r="328" spans="1:16" s="3" customFormat="1" x14ac:dyDescent="0.25">
      <c r="A328" s="12"/>
      <c r="B328" s="582"/>
      <c r="C328" s="583"/>
      <c r="D328" s="583"/>
      <c r="E328" s="583"/>
      <c r="F328" s="583"/>
      <c r="G328" s="583"/>
      <c r="H328" s="583"/>
      <c r="I328" s="583"/>
      <c r="J328" s="583"/>
      <c r="K328" s="583"/>
      <c r="L328" s="584"/>
      <c r="M328" s="152"/>
      <c r="O328" s="154"/>
      <c r="P328" s="154"/>
    </row>
    <row r="329" spans="1:16" s="152" customFormat="1" x14ac:dyDescent="0.25">
      <c r="A329" s="173"/>
      <c r="B329" s="187"/>
      <c r="C329" s="188"/>
      <c r="D329" s="188"/>
      <c r="E329" s="188"/>
      <c r="F329" s="188"/>
      <c r="G329" s="188"/>
      <c r="H329" s="188"/>
      <c r="I329" s="188"/>
      <c r="J329" s="188"/>
      <c r="K329" s="188"/>
      <c r="L329" s="186"/>
      <c r="O329" s="9"/>
      <c r="P329" s="9"/>
    </row>
    <row r="330" spans="1:16" s="3" customFormat="1" x14ac:dyDescent="0.25">
      <c r="A330" s="12"/>
      <c r="B330" s="585" t="s">
        <v>310</v>
      </c>
      <c r="C330" s="586"/>
      <c r="D330" s="586"/>
      <c r="E330" s="586"/>
      <c r="F330" s="586"/>
      <c r="G330" s="586"/>
      <c r="H330" s="586"/>
      <c r="I330" s="586"/>
      <c r="J330" s="586"/>
      <c r="K330" s="586"/>
      <c r="L330" s="587"/>
      <c r="M330" s="168"/>
      <c r="O330" s="154"/>
      <c r="P330" s="154"/>
    </row>
    <row r="331" spans="1:16" s="152" customFormat="1" x14ac:dyDescent="0.25">
      <c r="A331" s="173"/>
      <c r="B331" s="185"/>
      <c r="C331" s="174"/>
      <c r="D331" s="174"/>
      <c r="E331" s="174"/>
      <c r="F331" s="174"/>
      <c r="G331" s="174"/>
      <c r="H331" s="174"/>
      <c r="I331" s="174"/>
      <c r="J331" s="174"/>
      <c r="K331" s="174"/>
      <c r="L331" s="175"/>
      <c r="O331" s="9"/>
      <c r="P331" s="9"/>
    </row>
    <row r="332" spans="1:16" s="152" customFormat="1" x14ac:dyDescent="0.25">
      <c r="A332" s="173"/>
      <c r="B332" s="579" t="str">
        <f>IF(Intro!$G$21="English",O332,P332)</f>
        <v>Dans quelle mesure les marchandises produites au Canada sont-elles comparables en prix aux marchandises importées de la Chine?</v>
      </c>
      <c r="C332" s="580"/>
      <c r="D332" s="580"/>
      <c r="E332" s="580"/>
      <c r="F332" s="580"/>
      <c r="G332" s="580"/>
      <c r="H332" s="580"/>
      <c r="I332" s="580"/>
      <c r="J332" s="580"/>
      <c r="K332" s="580"/>
      <c r="L332" s="581"/>
      <c r="O332" s="9" t="str">
        <f>"To what extent are the goods produced in Canada comparable in price with the goods imported from "&amp;Variables!B5&amp;"?"</f>
        <v>To what extent are the goods produced in Canada comparable in price with the goods imported from China?</v>
      </c>
      <c r="P332" s="9" t="str">
        <f>"Dans quelle mesure les marchandises produites au Canada sont-elles comparables en prix aux marchandises importées "&amp;Variables!C5&amp;"?"</f>
        <v>Dans quelle mesure les marchandises produites au Canada sont-elles comparables en prix aux marchandises importées de la Chine?</v>
      </c>
    </row>
    <row r="333" spans="1:16" s="152" customFormat="1" x14ac:dyDescent="0.25">
      <c r="A333" s="173"/>
      <c r="B333" s="185"/>
      <c r="C333" s="174"/>
      <c r="D333" s="174"/>
      <c r="E333" s="174"/>
      <c r="F333" s="174"/>
      <c r="G333" s="174"/>
      <c r="H333" s="174"/>
      <c r="I333" s="174"/>
      <c r="J333" s="174"/>
      <c r="K333" s="174"/>
      <c r="L333" s="175"/>
      <c r="O333" s="9"/>
      <c r="P333" s="9"/>
    </row>
    <row r="334" spans="1:16" s="3" customFormat="1" x14ac:dyDescent="0.25">
      <c r="A334" s="12"/>
      <c r="B334" s="582"/>
      <c r="C334" s="583"/>
      <c r="D334" s="583"/>
      <c r="E334" s="583"/>
      <c r="F334" s="583"/>
      <c r="G334" s="583"/>
      <c r="H334" s="583"/>
      <c r="I334" s="583"/>
      <c r="J334" s="583"/>
      <c r="K334" s="583"/>
      <c r="L334" s="584"/>
      <c r="M334" s="152"/>
      <c r="O334" s="154"/>
      <c r="P334" s="154"/>
    </row>
    <row r="335" spans="1:16" s="3" customFormat="1" x14ac:dyDescent="0.25">
      <c r="A335" s="12"/>
      <c r="B335" s="582"/>
      <c r="C335" s="583"/>
      <c r="D335" s="583"/>
      <c r="E335" s="583"/>
      <c r="F335" s="583"/>
      <c r="G335" s="583"/>
      <c r="H335" s="583"/>
      <c r="I335" s="583"/>
      <c r="J335" s="583"/>
      <c r="K335" s="583"/>
      <c r="L335" s="584"/>
      <c r="M335" s="152"/>
      <c r="O335" s="154"/>
      <c r="P335" s="154"/>
    </row>
    <row r="336" spans="1:16" s="3" customFormat="1" x14ac:dyDescent="0.25">
      <c r="A336" s="12"/>
      <c r="B336" s="582"/>
      <c r="C336" s="583"/>
      <c r="D336" s="583"/>
      <c r="E336" s="583"/>
      <c r="F336" s="583"/>
      <c r="G336" s="583"/>
      <c r="H336" s="583"/>
      <c r="I336" s="583"/>
      <c r="J336" s="583"/>
      <c r="K336" s="583"/>
      <c r="L336" s="584"/>
      <c r="M336" s="152"/>
      <c r="O336" s="154"/>
      <c r="P336" s="154"/>
    </row>
    <row r="337" spans="1:16" s="3" customFormat="1" x14ac:dyDescent="0.25">
      <c r="A337" s="12"/>
      <c r="B337" s="582"/>
      <c r="C337" s="583"/>
      <c r="D337" s="583"/>
      <c r="E337" s="583"/>
      <c r="F337" s="583"/>
      <c r="G337" s="583"/>
      <c r="H337" s="583"/>
      <c r="I337" s="583"/>
      <c r="J337" s="583"/>
      <c r="K337" s="583"/>
      <c r="L337" s="584"/>
      <c r="M337" s="152"/>
      <c r="O337" s="154"/>
      <c r="P337" s="154"/>
    </row>
    <row r="338" spans="1:16" s="3" customFormat="1" x14ac:dyDescent="0.25">
      <c r="A338" s="12"/>
      <c r="B338" s="582"/>
      <c r="C338" s="583"/>
      <c r="D338" s="583"/>
      <c r="E338" s="583"/>
      <c r="F338" s="583"/>
      <c r="G338" s="583"/>
      <c r="H338" s="583"/>
      <c r="I338" s="583"/>
      <c r="J338" s="583"/>
      <c r="K338" s="583"/>
      <c r="L338" s="584"/>
      <c r="M338" s="152"/>
      <c r="O338" s="154"/>
      <c r="P338" s="154"/>
    </row>
    <row r="339" spans="1:16" s="3" customFormat="1" x14ac:dyDescent="0.25">
      <c r="A339" s="12"/>
      <c r="B339" s="582"/>
      <c r="C339" s="583"/>
      <c r="D339" s="583"/>
      <c r="E339" s="583"/>
      <c r="F339" s="583"/>
      <c r="G339" s="583"/>
      <c r="H339" s="583"/>
      <c r="I339" s="583"/>
      <c r="J339" s="583"/>
      <c r="K339" s="583"/>
      <c r="L339" s="584"/>
      <c r="M339" s="152"/>
      <c r="O339" s="154"/>
      <c r="P339" s="154"/>
    </row>
    <row r="340" spans="1:16" s="3" customFormat="1" x14ac:dyDescent="0.25">
      <c r="A340" s="12"/>
      <c r="B340" s="582"/>
      <c r="C340" s="583"/>
      <c r="D340" s="583"/>
      <c r="E340" s="583"/>
      <c r="F340" s="583"/>
      <c r="G340" s="583"/>
      <c r="H340" s="583"/>
      <c r="I340" s="583"/>
      <c r="J340" s="583"/>
      <c r="K340" s="583"/>
      <c r="L340" s="584"/>
      <c r="M340" s="152"/>
      <c r="O340" s="154"/>
      <c r="P340" s="154"/>
    </row>
    <row r="341" spans="1:16" s="3" customFormat="1" x14ac:dyDescent="0.25">
      <c r="A341" s="12"/>
      <c r="B341" s="582"/>
      <c r="C341" s="583"/>
      <c r="D341" s="583"/>
      <c r="E341" s="583"/>
      <c r="F341" s="583"/>
      <c r="G341" s="583"/>
      <c r="H341" s="583"/>
      <c r="I341" s="583"/>
      <c r="J341" s="583"/>
      <c r="K341" s="583"/>
      <c r="L341" s="584"/>
      <c r="M341" s="152"/>
      <c r="O341" s="154"/>
      <c r="P341" s="154"/>
    </row>
    <row r="342" spans="1:16" s="152" customFormat="1" x14ac:dyDescent="0.25">
      <c r="A342" s="173"/>
      <c r="B342" s="187"/>
      <c r="C342" s="188"/>
      <c r="D342" s="188"/>
      <c r="E342" s="188"/>
      <c r="F342" s="188"/>
      <c r="G342" s="188"/>
      <c r="H342" s="188"/>
      <c r="I342" s="188"/>
      <c r="J342" s="188"/>
      <c r="K342" s="188"/>
      <c r="L342" s="186"/>
      <c r="O342" s="9"/>
      <c r="P342" s="9"/>
    </row>
    <row r="343" spans="1:16" s="3" customFormat="1" x14ac:dyDescent="0.25">
      <c r="A343" s="12"/>
      <c r="B343" s="585" t="s">
        <v>311</v>
      </c>
      <c r="C343" s="586"/>
      <c r="D343" s="586"/>
      <c r="E343" s="586"/>
      <c r="F343" s="586"/>
      <c r="G343" s="586"/>
      <c r="H343" s="586"/>
      <c r="I343" s="586"/>
      <c r="J343" s="586"/>
      <c r="K343" s="586"/>
      <c r="L343" s="587"/>
      <c r="M343" s="168"/>
      <c r="O343" s="154"/>
      <c r="P343" s="154"/>
    </row>
    <row r="344" spans="1:16" s="152" customFormat="1" x14ac:dyDescent="0.25">
      <c r="A344" s="173"/>
      <c r="B344" s="185"/>
      <c r="C344" s="174"/>
      <c r="D344" s="174"/>
      <c r="E344" s="174"/>
      <c r="F344" s="174"/>
      <c r="G344" s="174"/>
      <c r="H344" s="174"/>
      <c r="I344" s="174"/>
      <c r="J344" s="174"/>
      <c r="K344" s="174"/>
      <c r="L344" s="175"/>
      <c r="O344" s="9"/>
      <c r="P344" s="9"/>
    </row>
    <row r="345" spans="1:16" s="152" customFormat="1" x14ac:dyDescent="0.25">
      <c r="A345" s="173"/>
      <c r="B345" s="475" t="str">
        <f>IF(Intro!$G$21="English",O345,P345)</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C345" s="476"/>
      <c r="D345" s="476"/>
      <c r="E345" s="476"/>
      <c r="F345" s="476"/>
      <c r="G345" s="476"/>
      <c r="H345" s="476"/>
      <c r="I345" s="476"/>
      <c r="J345" s="476"/>
      <c r="K345" s="476"/>
      <c r="L345" s="477"/>
      <c r="O345" s="9"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China?</v>
      </c>
      <c r="P345"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row>
    <row r="346" spans="1:16" s="152" customFormat="1" x14ac:dyDescent="0.25">
      <c r="A346" s="173"/>
      <c r="B346" s="475"/>
      <c r="C346" s="476"/>
      <c r="D346" s="476"/>
      <c r="E346" s="476"/>
      <c r="F346" s="476"/>
      <c r="G346" s="476"/>
      <c r="H346" s="476"/>
      <c r="I346" s="476"/>
      <c r="J346" s="476"/>
      <c r="K346" s="476"/>
      <c r="L346" s="477"/>
      <c r="O346" s="9"/>
      <c r="P346" s="9"/>
    </row>
    <row r="347" spans="1:16" s="152" customFormat="1" x14ac:dyDescent="0.25">
      <c r="A347" s="173"/>
      <c r="B347" s="185"/>
      <c r="C347" s="174"/>
      <c r="D347" s="174"/>
      <c r="E347" s="174"/>
      <c r="F347" s="174"/>
      <c r="G347" s="174"/>
      <c r="H347" s="174"/>
      <c r="I347" s="174"/>
      <c r="J347" s="174"/>
      <c r="K347" s="174"/>
      <c r="L347" s="175"/>
      <c r="O347" s="9"/>
      <c r="P347" s="9"/>
    </row>
    <row r="348" spans="1:16" s="3" customFormat="1" x14ac:dyDescent="0.25">
      <c r="A348" s="12"/>
      <c r="B348" s="582"/>
      <c r="C348" s="583"/>
      <c r="D348" s="583"/>
      <c r="E348" s="583"/>
      <c r="F348" s="583"/>
      <c r="G348" s="583"/>
      <c r="H348" s="583"/>
      <c r="I348" s="583"/>
      <c r="J348" s="583"/>
      <c r="K348" s="583"/>
      <c r="L348" s="584"/>
      <c r="M348" s="152"/>
      <c r="O348" s="154"/>
      <c r="P348" s="154"/>
    </row>
    <row r="349" spans="1:16" s="3" customFormat="1" x14ac:dyDescent="0.25">
      <c r="A349" s="12"/>
      <c r="B349" s="582"/>
      <c r="C349" s="583"/>
      <c r="D349" s="583"/>
      <c r="E349" s="583"/>
      <c r="F349" s="583"/>
      <c r="G349" s="583"/>
      <c r="H349" s="583"/>
      <c r="I349" s="583"/>
      <c r="J349" s="583"/>
      <c r="K349" s="583"/>
      <c r="L349" s="584"/>
      <c r="M349" s="152"/>
      <c r="O349" s="154"/>
      <c r="P349" s="154"/>
    </row>
    <row r="350" spans="1:16" s="3" customFormat="1" x14ac:dyDescent="0.25">
      <c r="A350" s="12"/>
      <c r="B350" s="582"/>
      <c r="C350" s="583"/>
      <c r="D350" s="583"/>
      <c r="E350" s="583"/>
      <c r="F350" s="583"/>
      <c r="G350" s="583"/>
      <c r="H350" s="583"/>
      <c r="I350" s="583"/>
      <c r="J350" s="583"/>
      <c r="K350" s="583"/>
      <c r="L350" s="584"/>
      <c r="M350" s="152"/>
      <c r="O350" s="154"/>
      <c r="P350" s="154"/>
    </row>
    <row r="351" spans="1:16" s="3" customFormat="1" x14ac:dyDescent="0.25">
      <c r="A351" s="12"/>
      <c r="B351" s="582"/>
      <c r="C351" s="583"/>
      <c r="D351" s="583"/>
      <c r="E351" s="583"/>
      <c r="F351" s="583"/>
      <c r="G351" s="583"/>
      <c r="H351" s="583"/>
      <c r="I351" s="583"/>
      <c r="J351" s="583"/>
      <c r="K351" s="583"/>
      <c r="L351" s="584"/>
      <c r="M351" s="152"/>
      <c r="O351" s="154"/>
      <c r="P351" s="154"/>
    </row>
    <row r="352" spans="1:16" s="3" customFormat="1" x14ac:dyDescent="0.25">
      <c r="A352" s="12"/>
      <c r="B352" s="582"/>
      <c r="C352" s="583"/>
      <c r="D352" s="583"/>
      <c r="E352" s="583"/>
      <c r="F352" s="583"/>
      <c r="G352" s="583"/>
      <c r="H352" s="583"/>
      <c r="I352" s="583"/>
      <c r="J352" s="583"/>
      <c r="K352" s="583"/>
      <c r="L352" s="584"/>
      <c r="M352" s="152"/>
      <c r="O352" s="154"/>
      <c r="P352" s="154"/>
    </row>
    <row r="353" spans="1:16" s="3" customFormat="1" x14ac:dyDescent="0.25">
      <c r="A353" s="12"/>
      <c r="B353" s="582"/>
      <c r="C353" s="583"/>
      <c r="D353" s="583"/>
      <c r="E353" s="583"/>
      <c r="F353" s="583"/>
      <c r="G353" s="583"/>
      <c r="H353" s="583"/>
      <c r="I353" s="583"/>
      <c r="J353" s="583"/>
      <c r="K353" s="583"/>
      <c r="L353" s="584"/>
      <c r="M353" s="152"/>
      <c r="O353" s="154"/>
      <c r="P353" s="154"/>
    </row>
    <row r="354" spans="1:16" s="3" customFormat="1" x14ac:dyDescent="0.25">
      <c r="A354" s="12"/>
      <c r="B354" s="582"/>
      <c r="C354" s="583"/>
      <c r="D354" s="583"/>
      <c r="E354" s="583"/>
      <c r="F354" s="583"/>
      <c r="G354" s="583"/>
      <c r="H354" s="583"/>
      <c r="I354" s="583"/>
      <c r="J354" s="583"/>
      <c r="K354" s="583"/>
      <c r="L354" s="584"/>
      <c r="M354" s="152"/>
      <c r="O354" s="154"/>
      <c r="P354" s="154"/>
    </row>
    <row r="355" spans="1:16" s="3" customFormat="1" x14ac:dyDescent="0.25">
      <c r="A355" s="12"/>
      <c r="B355" s="582"/>
      <c r="C355" s="583"/>
      <c r="D355" s="583"/>
      <c r="E355" s="583"/>
      <c r="F355" s="583"/>
      <c r="G355" s="583"/>
      <c r="H355" s="583"/>
      <c r="I355" s="583"/>
      <c r="J355" s="583"/>
      <c r="K355" s="583"/>
      <c r="L355" s="584"/>
      <c r="M355" s="152"/>
      <c r="O355" s="154"/>
      <c r="P355" s="154"/>
    </row>
    <row r="356" spans="1:16" s="152" customFormat="1" x14ac:dyDescent="0.25">
      <c r="A356" s="173"/>
      <c r="B356" s="187"/>
      <c r="C356" s="188"/>
      <c r="D356" s="188"/>
      <c r="E356" s="188"/>
      <c r="F356" s="188"/>
      <c r="G356" s="188"/>
      <c r="H356" s="188"/>
      <c r="I356" s="188"/>
      <c r="J356" s="188"/>
      <c r="K356" s="188"/>
      <c r="L356" s="186"/>
      <c r="O356" s="9"/>
      <c r="P356" s="9"/>
    </row>
    <row r="358" spans="1:16" x14ac:dyDescent="0.25">
      <c r="B358" s="453" t="str">
        <f>IF(Intro!$G$21="English",O358,P358)</f>
        <v>VENTES</v>
      </c>
      <c r="C358" s="454"/>
      <c r="D358" s="454"/>
      <c r="E358" s="454"/>
      <c r="F358" s="454"/>
      <c r="G358" s="454"/>
      <c r="H358" s="454"/>
      <c r="I358" s="454"/>
      <c r="J358" s="454"/>
      <c r="K358" s="454"/>
      <c r="L358" s="455"/>
      <c r="M358" s="152"/>
      <c r="O358" s="9" t="s">
        <v>653</v>
      </c>
      <c r="P358" s="9" t="s">
        <v>654</v>
      </c>
    </row>
    <row r="359" spans="1:16" s="3" customFormat="1" x14ac:dyDescent="0.25">
      <c r="A359" s="12"/>
      <c r="B359" s="585" t="s">
        <v>312</v>
      </c>
      <c r="C359" s="586"/>
      <c r="D359" s="586"/>
      <c r="E359" s="586"/>
      <c r="F359" s="586"/>
      <c r="G359" s="586"/>
      <c r="H359" s="586"/>
      <c r="I359" s="586"/>
      <c r="J359" s="586"/>
      <c r="K359" s="586"/>
      <c r="L359" s="587"/>
      <c r="M359" s="168"/>
      <c r="O359" s="154"/>
      <c r="P359" s="154"/>
    </row>
    <row r="360" spans="1:16" s="152" customFormat="1" x14ac:dyDescent="0.25">
      <c r="A360" s="173"/>
      <c r="B360" s="185"/>
      <c r="C360" s="174"/>
      <c r="D360" s="174"/>
      <c r="E360" s="174"/>
      <c r="F360" s="174"/>
      <c r="G360" s="174"/>
      <c r="H360" s="174"/>
      <c r="I360" s="174"/>
      <c r="J360" s="174"/>
      <c r="K360" s="174"/>
      <c r="L360" s="175"/>
      <c r="O360" s="9"/>
      <c r="P360" s="9"/>
    </row>
    <row r="361" spans="1:16" s="152" customFormat="1" x14ac:dyDescent="0.25">
      <c r="A361" s="173"/>
      <c r="B361" s="579" t="str">
        <f>IF(Intro!$G$21="English",O361,P361)</f>
        <v>Décrivez tout changement dans les canaux de distribution de votre entreprise depuis le 1er janvier 2023.</v>
      </c>
      <c r="C361" s="580"/>
      <c r="D361" s="580"/>
      <c r="E361" s="580"/>
      <c r="F361" s="580"/>
      <c r="G361" s="580"/>
      <c r="H361" s="580"/>
      <c r="I361" s="580"/>
      <c r="J361" s="580"/>
      <c r="K361" s="580"/>
      <c r="L361" s="581"/>
      <c r="O361" s="9" t="str">
        <f>"Describe any changes in your firm's channels of distribution since January 1, "&amp;Variables!B6&amp;"."</f>
        <v>Describe any changes in your firm's channels of distribution since January 1, 2023.</v>
      </c>
      <c r="P361" s="9" t="str">
        <f>"Décrivez tout changement dans les canaux de distribution de votre entreprise depuis le 1er janvier "&amp;Variables!B6&amp;"."</f>
        <v>Décrivez tout changement dans les canaux de distribution de votre entreprise depuis le 1er janvier 2023.</v>
      </c>
    </row>
    <row r="362" spans="1:16" s="152" customFormat="1" x14ac:dyDescent="0.25">
      <c r="A362" s="173"/>
      <c r="B362" s="185"/>
      <c r="C362" s="174"/>
      <c r="D362" s="174"/>
      <c r="E362" s="174"/>
      <c r="F362" s="174"/>
      <c r="G362" s="174"/>
      <c r="H362" s="174"/>
      <c r="I362" s="174"/>
      <c r="J362" s="174"/>
      <c r="K362" s="174"/>
      <c r="L362" s="175"/>
      <c r="O362" s="9"/>
      <c r="P362" s="9"/>
    </row>
    <row r="363" spans="1:16" s="3" customFormat="1" x14ac:dyDescent="0.25">
      <c r="A363" s="12"/>
      <c r="B363" s="582"/>
      <c r="C363" s="583"/>
      <c r="D363" s="583"/>
      <c r="E363" s="583"/>
      <c r="F363" s="583"/>
      <c r="G363" s="583"/>
      <c r="H363" s="583"/>
      <c r="I363" s="583"/>
      <c r="J363" s="583"/>
      <c r="K363" s="583"/>
      <c r="L363" s="584"/>
      <c r="M363" s="152"/>
      <c r="O363" s="154"/>
      <c r="P363" s="154"/>
    </row>
    <row r="364" spans="1:16" s="3" customFormat="1" x14ac:dyDescent="0.25">
      <c r="A364" s="12"/>
      <c r="B364" s="582"/>
      <c r="C364" s="583"/>
      <c r="D364" s="583"/>
      <c r="E364" s="583"/>
      <c r="F364" s="583"/>
      <c r="G364" s="583"/>
      <c r="H364" s="583"/>
      <c r="I364" s="583"/>
      <c r="J364" s="583"/>
      <c r="K364" s="583"/>
      <c r="L364" s="584"/>
      <c r="M364" s="152"/>
      <c r="O364" s="154"/>
      <c r="P364" s="154"/>
    </row>
    <row r="365" spans="1:16" s="3" customFormat="1" x14ac:dyDescent="0.25">
      <c r="A365" s="12"/>
      <c r="B365" s="582"/>
      <c r="C365" s="583"/>
      <c r="D365" s="583"/>
      <c r="E365" s="583"/>
      <c r="F365" s="583"/>
      <c r="G365" s="583"/>
      <c r="H365" s="583"/>
      <c r="I365" s="583"/>
      <c r="J365" s="583"/>
      <c r="K365" s="583"/>
      <c r="L365" s="584"/>
      <c r="M365" s="152"/>
      <c r="O365" s="154"/>
      <c r="P365" s="154"/>
    </row>
    <row r="366" spans="1:16" s="3" customFormat="1" x14ac:dyDescent="0.25">
      <c r="A366" s="12"/>
      <c r="B366" s="582"/>
      <c r="C366" s="583"/>
      <c r="D366" s="583"/>
      <c r="E366" s="583"/>
      <c r="F366" s="583"/>
      <c r="G366" s="583"/>
      <c r="H366" s="583"/>
      <c r="I366" s="583"/>
      <c r="J366" s="583"/>
      <c r="K366" s="583"/>
      <c r="L366" s="584"/>
      <c r="M366" s="152"/>
      <c r="O366" s="154"/>
      <c r="P366" s="154"/>
    </row>
    <row r="367" spans="1:16" s="3" customFormat="1" x14ac:dyDescent="0.25">
      <c r="A367" s="12"/>
      <c r="B367" s="582"/>
      <c r="C367" s="583"/>
      <c r="D367" s="583"/>
      <c r="E367" s="583"/>
      <c r="F367" s="583"/>
      <c r="G367" s="583"/>
      <c r="H367" s="583"/>
      <c r="I367" s="583"/>
      <c r="J367" s="583"/>
      <c r="K367" s="583"/>
      <c r="L367" s="584"/>
      <c r="M367" s="152"/>
      <c r="O367" s="154"/>
      <c r="P367" s="154"/>
    </row>
    <row r="368" spans="1:16" s="3" customFormat="1" x14ac:dyDescent="0.25">
      <c r="A368" s="12"/>
      <c r="B368" s="582"/>
      <c r="C368" s="583"/>
      <c r="D368" s="583"/>
      <c r="E368" s="583"/>
      <c r="F368" s="583"/>
      <c r="G368" s="583"/>
      <c r="H368" s="583"/>
      <c r="I368" s="583"/>
      <c r="J368" s="583"/>
      <c r="K368" s="583"/>
      <c r="L368" s="584"/>
      <c r="M368" s="152"/>
      <c r="O368" s="154"/>
      <c r="P368" s="154"/>
    </row>
    <row r="369" spans="1:16" s="3" customFormat="1" x14ac:dyDescent="0.25">
      <c r="A369" s="12"/>
      <c r="B369" s="582"/>
      <c r="C369" s="583"/>
      <c r="D369" s="583"/>
      <c r="E369" s="583"/>
      <c r="F369" s="583"/>
      <c r="G369" s="583"/>
      <c r="H369" s="583"/>
      <c r="I369" s="583"/>
      <c r="J369" s="583"/>
      <c r="K369" s="583"/>
      <c r="L369" s="584"/>
      <c r="M369" s="152"/>
      <c r="O369" s="154"/>
      <c r="P369" s="154"/>
    </row>
    <row r="370" spans="1:16" s="3" customFormat="1" x14ac:dyDescent="0.25">
      <c r="A370" s="12"/>
      <c r="B370" s="582"/>
      <c r="C370" s="583"/>
      <c r="D370" s="583"/>
      <c r="E370" s="583"/>
      <c r="F370" s="583"/>
      <c r="G370" s="583"/>
      <c r="H370" s="583"/>
      <c r="I370" s="583"/>
      <c r="J370" s="583"/>
      <c r="K370" s="583"/>
      <c r="L370" s="584"/>
      <c r="M370" s="152"/>
      <c r="O370" s="154"/>
      <c r="P370" s="154"/>
    </row>
    <row r="371" spans="1:16" s="152" customFormat="1" x14ac:dyDescent="0.25">
      <c r="A371" s="173"/>
      <c r="B371" s="187"/>
      <c r="C371" s="188"/>
      <c r="D371" s="188"/>
      <c r="E371" s="188"/>
      <c r="F371" s="188"/>
      <c r="G371" s="188"/>
      <c r="H371" s="188"/>
      <c r="I371" s="188"/>
      <c r="J371" s="188"/>
      <c r="K371" s="188"/>
      <c r="L371" s="186"/>
      <c r="O371" s="9"/>
      <c r="P371" s="9"/>
    </row>
    <row r="372" spans="1:16" s="3" customFormat="1" x14ac:dyDescent="0.25">
      <c r="A372" s="12"/>
      <c r="B372" s="585" t="s">
        <v>313</v>
      </c>
      <c r="C372" s="586"/>
      <c r="D372" s="586"/>
      <c r="E372" s="586"/>
      <c r="F372" s="586"/>
      <c r="G372" s="586"/>
      <c r="H372" s="586"/>
      <c r="I372" s="586"/>
      <c r="J372" s="586"/>
      <c r="K372" s="586"/>
      <c r="L372" s="587"/>
      <c r="M372" s="168"/>
      <c r="O372" s="154"/>
      <c r="P372" s="154"/>
    </row>
    <row r="373" spans="1:16" s="152" customFormat="1" x14ac:dyDescent="0.25">
      <c r="A373" s="173"/>
      <c r="B373" s="185"/>
      <c r="C373" s="174"/>
      <c r="D373" s="174"/>
      <c r="E373" s="174"/>
      <c r="F373" s="174"/>
      <c r="G373" s="174"/>
      <c r="H373" s="174"/>
      <c r="I373" s="174"/>
      <c r="J373" s="174"/>
      <c r="K373" s="174"/>
      <c r="L373" s="175"/>
      <c r="O373" s="9"/>
      <c r="P373" s="9"/>
    </row>
    <row r="374" spans="1:16" s="152" customFormat="1" x14ac:dyDescent="0.25">
      <c r="A374" s="173"/>
      <c r="B374" s="475" t="str">
        <f>IF(Intro!$G$21="English",O374,P374)</f>
        <v>Comment votre entreprise favorise-t-elle les ventes des marchandises sur le marché canadien? Vos méthodes ont-elles changées depuis le 1er janvier 2023?</v>
      </c>
      <c r="C374" s="476"/>
      <c r="D374" s="476"/>
      <c r="E374" s="476"/>
      <c r="F374" s="476"/>
      <c r="G374" s="476"/>
      <c r="H374" s="476"/>
      <c r="I374" s="476"/>
      <c r="J374" s="476"/>
      <c r="K374" s="476"/>
      <c r="L374" s="477"/>
      <c r="O374" s="9" t="str">
        <f>"How does your firm promote sales of the goods in the Canadian market? Have these methods changed since January 1, "&amp;Variables!B6&amp;"?"</f>
        <v>How does your firm promote sales of the goods in the Canadian market? Have these methods changed since January 1, 2023?</v>
      </c>
      <c r="P374"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75" spans="1:16" s="152" customFormat="1" x14ac:dyDescent="0.25">
      <c r="A375" s="173"/>
      <c r="B375" s="475"/>
      <c r="C375" s="476"/>
      <c r="D375" s="476"/>
      <c r="E375" s="476"/>
      <c r="F375" s="476"/>
      <c r="G375" s="476"/>
      <c r="H375" s="476"/>
      <c r="I375" s="476"/>
      <c r="J375" s="476"/>
      <c r="K375" s="476"/>
      <c r="L375" s="477"/>
      <c r="O375" s="9"/>
      <c r="P375" s="9"/>
    </row>
    <row r="376" spans="1:16" s="152" customFormat="1" x14ac:dyDescent="0.25">
      <c r="A376" s="173"/>
      <c r="B376" s="185"/>
      <c r="C376" s="174"/>
      <c r="D376" s="174"/>
      <c r="E376" s="174"/>
      <c r="F376" s="174"/>
      <c r="G376" s="174"/>
      <c r="H376" s="174"/>
      <c r="I376" s="174"/>
      <c r="J376" s="174"/>
      <c r="K376" s="174"/>
      <c r="L376" s="175"/>
      <c r="O376" s="9"/>
      <c r="P376" s="9"/>
    </row>
    <row r="377" spans="1:16" s="3" customFormat="1" x14ac:dyDescent="0.25">
      <c r="A377" s="12"/>
      <c r="B377" s="582"/>
      <c r="C377" s="583"/>
      <c r="D377" s="583"/>
      <c r="E377" s="583"/>
      <c r="F377" s="583"/>
      <c r="G377" s="583"/>
      <c r="H377" s="583"/>
      <c r="I377" s="583"/>
      <c r="J377" s="583"/>
      <c r="K377" s="583"/>
      <c r="L377" s="584"/>
      <c r="M377" s="152"/>
      <c r="O377" s="154"/>
      <c r="P377" s="154"/>
    </row>
    <row r="378" spans="1:16" s="3" customFormat="1" x14ac:dyDescent="0.25">
      <c r="A378" s="12"/>
      <c r="B378" s="582"/>
      <c r="C378" s="583"/>
      <c r="D378" s="583"/>
      <c r="E378" s="583"/>
      <c r="F378" s="583"/>
      <c r="G378" s="583"/>
      <c r="H378" s="583"/>
      <c r="I378" s="583"/>
      <c r="J378" s="583"/>
      <c r="K378" s="583"/>
      <c r="L378" s="584"/>
      <c r="M378" s="152"/>
      <c r="O378" s="154"/>
      <c r="P378" s="154"/>
    </row>
    <row r="379" spans="1:16" s="3" customFormat="1" x14ac:dyDescent="0.25">
      <c r="A379" s="12"/>
      <c r="B379" s="582"/>
      <c r="C379" s="583"/>
      <c r="D379" s="583"/>
      <c r="E379" s="583"/>
      <c r="F379" s="583"/>
      <c r="G379" s="583"/>
      <c r="H379" s="583"/>
      <c r="I379" s="583"/>
      <c r="J379" s="583"/>
      <c r="K379" s="583"/>
      <c r="L379" s="584"/>
      <c r="M379" s="152"/>
      <c r="O379" s="154"/>
      <c r="P379" s="154"/>
    </row>
    <row r="380" spans="1:16" s="3" customFormat="1" x14ac:dyDescent="0.25">
      <c r="A380" s="12"/>
      <c r="B380" s="582"/>
      <c r="C380" s="583"/>
      <c r="D380" s="583"/>
      <c r="E380" s="583"/>
      <c r="F380" s="583"/>
      <c r="G380" s="583"/>
      <c r="H380" s="583"/>
      <c r="I380" s="583"/>
      <c r="J380" s="583"/>
      <c r="K380" s="583"/>
      <c r="L380" s="584"/>
      <c r="M380" s="152"/>
      <c r="O380" s="154"/>
      <c r="P380" s="154"/>
    </row>
    <row r="381" spans="1:16" s="3" customFormat="1" x14ac:dyDescent="0.25">
      <c r="A381" s="12"/>
      <c r="B381" s="582"/>
      <c r="C381" s="583"/>
      <c r="D381" s="583"/>
      <c r="E381" s="583"/>
      <c r="F381" s="583"/>
      <c r="G381" s="583"/>
      <c r="H381" s="583"/>
      <c r="I381" s="583"/>
      <c r="J381" s="583"/>
      <c r="K381" s="583"/>
      <c r="L381" s="584"/>
      <c r="M381" s="152"/>
      <c r="O381" s="154"/>
      <c r="P381" s="154"/>
    </row>
    <row r="382" spans="1:16" s="3" customFormat="1" x14ac:dyDescent="0.25">
      <c r="A382" s="12"/>
      <c r="B382" s="582"/>
      <c r="C382" s="583"/>
      <c r="D382" s="583"/>
      <c r="E382" s="583"/>
      <c r="F382" s="583"/>
      <c r="G382" s="583"/>
      <c r="H382" s="583"/>
      <c r="I382" s="583"/>
      <c r="J382" s="583"/>
      <c r="K382" s="583"/>
      <c r="L382" s="584"/>
      <c r="M382" s="152"/>
      <c r="O382" s="154"/>
      <c r="P382" s="154"/>
    </row>
    <row r="383" spans="1:16" s="3" customFormat="1" x14ac:dyDescent="0.25">
      <c r="A383" s="12"/>
      <c r="B383" s="582"/>
      <c r="C383" s="583"/>
      <c r="D383" s="583"/>
      <c r="E383" s="583"/>
      <c r="F383" s="583"/>
      <c r="G383" s="583"/>
      <c r="H383" s="583"/>
      <c r="I383" s="583"/>
      <c r="J383" s="583"/>
      <c r="K383" s="583"/>
      <c r="L383" s="584"/>
      <c r="M383" s="152"/>
      <c r="O383" s="154"/>
      <c r="P383" s="154"/>
    </row>
    <row r="384" spans="1:16" s="3" customFormat="1" x14ac:dyDescent="0.25">
      <c r="A384" s="12"/>
      <c r="B384" s="582"/>
      <c r="C384" s="583"/>
      <c r="D384" s="583"/>
      <c r="E384" s="583"/>
      <c r="F384" s="583"/>
      <c r="G384" s="583"/>
      <c r="H384" s="583"/>
      <c r="I384" s="583"/>
      <c r="J384" s="583"/>
      <c r="K384" s="583"/>
      <c r="L384" s="584"/>
      <c r="M384" s="152"/>
      <c r="O384" s="154"/>
      <c r="P384" s="154"/>
    </row>
    <row r="385" spans="1:16" s="152" customFormat="1" x14ac:dyDescent="0.25">
      <c r="A385" s="173"/>
      <c r="B385" s="187"/>
      <c r="C385" s="188"/>
      <c r="D385" s="188"/>
      <c r="E385" s="188"/>
      <c r="F385" s="188"/>
      <c r="G385" s="188"/>
      <c r="H385" s="188"/>
      <c r="I385" s="188"/>
      <c r="J385" s="188"/>
      <c r="K385" s="188"/>
      <c r="L385" s="186"/>
      <c r="O385" s="9"/>
      <c r="P385" s="9"/>
    </row>
    <row r="386" spans="1:16" s="3" customFormat="1" x14ac:dyDescent="0.25">
      <c r="A386" s="12"/>
      <c r="B386" s="585" t="s">
        <v>314</v>
      </c>
      <c r="C386" s="586"/>
      <c r="D386" s="586"/>
      <c r="E386" s="586"/>
      <c r="F386" s="586"/>
      <c r="G386" s="586"/>
      <c r="H386" s="586"/>
      <c r="I386" s="586"/>
      <c r="J386" s="586"/>
      <c r="K386" s="586"/>
      <c r="L386" s="587"/>
      <c r="M386" s="168"/>
      <c r="O386" s="154"/>
      <c r="P386" s="154"/>
    </row>
    <row r="387" spans="1:16" s="152" customFormat="1" x14ac:dyDescent="0.25">
      <c r="A387" s="173"/>
      <c r="B387" s="185"/>
      <c r="C387" s="174"/>
      <c r="D387" s="174"/>
      <c r="E387" s="174"/>
      <c r="F387" s="174"/>
      <c r="G387" s="174"/>
      <c r="H387" s="174"/>
      <c r="I387" s="174"/>
      <c r="J387" s="174"/>
      <c r="K387" s="174"/>
      <c r="L387" s="175"/>
      <c r="O387" s="9"/>
      <c r="P387" s="9"/>
    </row>
    <row r="388" spans="1:16" s="152" customFormat="1" x14ac:dyDescent="0.25">
      <c r="A388" s="173"/>
      <c r="B388" s="475" t="str">
        <f>IF(Intro!$G$21="English",O388,P388)</f>
        <v>Comment votre entreprise fixe-t-elle le prix des marchandises sur le marché canadien? Expliquez en détail les termes spécifiques à votre entreprise. Indiquez si ces pratiques générales de fixation des prix ont changé depuis le 1er janvier 2023.</v>
      </c>
      <c r="C388" s="476"/>
      <c r="D388" s="476"/>
      <c r="E388" s="476"/>
      <c r="F388" s="476"/>
      <c r="G388" s="476"/>
      <c r="H388" s="476"/>
      <c r="I388" s="476"/>
      <c r="J388" s="476"/>
      <c r="K388" s="476"/>
      <c r="L388" s="477"/>
      <c r="O388"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88"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89" spans="1:16" s="152" customFormat="1" x14ac:dyDescent="0.25">
      <c r="A389" s="173"/>
      <c r="B389" s="475"/>
      <c r="C389" s="476"/>
      <c r="D389" s="476"/>
      <c r="E389" s="476"/>
      <c r="F389" s="476"/>
      <c r="G389" s="476"/>
      <c r="H389" s="476"/>
      <c r="I389" s="476"/>
      <c r="J389" s="476"/>
      <c r="K389" s="476"/>
      <c r="L389" s="477"/>
      <c r="O389" s="9"/>
      <c r="P389" s="9"/>
    </row>
    <row r="390" spans="1:16" s="152" customFormat="1" x14ac:dyDescent="0.25">
      <c r="A390" s="173"/>
      <c r="B390" s="185"/>
      <c r="C390" s="174"/>
      <c r="D390" s="174"/>
      <c r="E390" s="174"/>
      <c r="F390" s="174"/>
      <c r="G390" s="174"/>
      <c r="H390" s="174"/>
      <c r="I390" s="174"/>
      <c r="J390" s="174"/>
      <c r="K390" s="174"/>
      <c r="L390" s="175"/>
      <c r="O390" s="9"/>
      <c r="P390" s="9"/>
    </row>
    <row r="391" spans="1:16" s="3" customFormat="1" x14ac:dyDescent="0.25">
      <c r="A391" s="12"/>
      <c r="B391" s="582"/>
      <c r="C391" s="583"/>
      <c r="D391" s="583"/>
      <c r="E391" s="583"/>
      <c r="F391" s="583"/>
      <c r="G391" s="583"/>
      <c r="H391" s="583"/>
      <c r="I391" s="583"/>
      <c r="J391" s="583"/>
      <c r="K391" s="583"/>
      <c r="L391" s="584"/>
      <c r="M391" s="152"/>
      <c r="O391" s="154"/>
      <c r="P391" s="154"/>
    </row>
    <row r="392" spans="1:16" s="3" customFormat="1" x14ac:dyDescent="0.25">
      <c r="A392" s="12"/>
      <c r="B392" s="582"/>
      <c r="C392" s="583"/>
      <c r="D392" s="583"/>
      <c r="E392" s="583"/>
      <c r="F392" s="583"/>
      <c r="G392" s="583"/>
      <c r="H392" s="583"/>
      <c r="I392" s="583"/>
      <c r="J392" s="583"/>
      <c r="K392" s="583"/>
      <c r="L392" s="584"/>
      <c r="M392" s="152"/>
      <c r="O392" s="154"/>
      <c r="P392" s="154"/>
    </row>
    <row r="393" spans="1:16" s="3" customFormat="1" x14ac:dyDescent="0.25">
      <c r="A393" s="12"/>
      <c r="B393" s="582"/>
      <c r="C393" s="583"/>
      <c r="D393" s="583"/>
      <c r="E393" s="583"/>
      <c r="F393" s="583"/>
      <c r="G393" s="583"/>
      <c r="H393" s="583"/>
      <c r="I393" s="583"/>
      <c r="J393" s="583"/>
      <c r="K393" s="583"/>
      <c r="L393" s="584"/>
      <c r="M393" s="152"/>
      <c r="O393" s="154"/>
      <c r="P393" s="154"/>
    </row>
    <row r="394" spans="1:16" s="3" customFormat="1" x14ac:dyDescent="0.25">
      <c r="A394" s="12"/>
      <c r="B394" s="582"/>
      <c r="C394" s="583"/>
      <c r="D394" s="583"/>
      <c r="E394" s="583"/>
      <c r="F394" s="583"/>
      <c r="G394" s="583"/>
      <c r="H394" s="583"/>
      <c r="I394" s="583"/>
      <c r="J394" s="583"/>
      <c r="K394" s="583"/>
      <c r="L394" s="584"/>
      <c r="M394" s="152"/>
      <c r="O394" s="154"/>
      <c r="P394" s="154"/>
    </row>
    <row r="395" spans="1:16" s="3" customFormat="1" x14ac:dyDescent="0.25">
      <c r="A395" s="12"/>
      <c r="B395" s="582"/>
      <c r="C395" s="583"/>
      <c r="D395" s="583"/>
      <c r="E395" s="583"/>
      <c r="F395" s="583"/>
      <c r="G395" s="583"/>
      <c r="H395" s="583"/>
      <c r="I395" s="583"/>
      <c r="J395" s="583"/>
      <c r="K395" s="583"/>
      <c r="L395" s="584"/>
      <c r="M395" s="152"/>
      <c r="O395" s="154"/>
      <c r="P395" s="154"/>
    </row>
    <row r="396" spans="1:16" s="3" customFormat="1" x14ac:dyDescent="0.25">
      <c r="A396" s="12"/>
      <c r="B396" s="582"/>
      <c r="C396" s="583"/>
      <c r="D396" s="583"/>
      <c r="E396" s="583"/>
      <c r="F396" s="583"/>
      <c r="G396" s="583"/>
      <c r="H396" s="583"/>
      <c r="I396" s="583"/>
      <c r="J396" s="583"/>
      <c r="K396" s="583"/>
      <c r="L396" s="584"/>
      <c r="M396" s="152"/>
      <c r="O396" s="154"/>
      <c r="P396" s="154"/>
    </row>
    <row r="397" spans="1:16" s="3" customFormat="1" x14ac:dyDescent="0.25">
      <c r="A397" s="12"/>
      <c r="B397" s="582"/>
      <c r="C397" s="583"/>
      <c r="D397" s="583"/>
      <c r="E397" s="583"/>
      <c r="F397" s="583"/>
      <c r="G397" s="583"/>
      <c r="H397" s="583"/>
      <c r="I397" s="583"/>
      <c r="J397" s="583"/>
      <c r="K397" s="583"/>
      <c r="L397" s="584"/>
      <c r="M397" s="152"/>
      <c r="O397" s="154"/>
      <c r="P397" s="154"/>
    </row>
    <row r="398" spans="1:16" s="3" customFormat="1" x14ac:dyDescent="0.25">
      <c r="A398" s="12"/>
      <c r="B398" s="582"/>
      <c r="C398" s="583"/>
      <c r="D398" s="583"/>
      <c r="E398" s="583"/>
      <c r="F398" s="583"/>
      <c r="G398" s="583"/>
      <c r="H398" s="583"/>
      <c r="I398" s="583"/>
      <c r="J398" s="583"/>
      <c r="K398" s="583"/>
      <c r="L398" s="584"/>
      <c r="M398" s="152"/>
      <c r="O398" s="154"/>
      <c r="P398" s="154"/>
    </row>
    <row r="399" spans="1:16" s="152" customFormat="1" x14ac:dyDescent="0.25">
      <c r="A399" s="173"/>
      <c r="B399" s="187"/>
      <c r="C399" s="188"/>
      <c r="D399" s="188"/>
      <c r="E399" s="188"/>
      <c r="F399" s="188"/>
      <c r="G399" s="188"/>
      <c r="H399" s="188"/>
      <c r="I399" s="188"/>
      <c r="J399" s="188"/>
      <c r="K399" s="188"/>
      <c r="L399" s="186"/>
      <c r="O399" s="9"/>
      <c r="P399" s="9"/>
    </row>
    <row r="400" spans="1:16" s="3" customFormat="1" x14ac:dyDescent="0.25">
      <c r="A400" s="12"/>
      <c r="B400" s="585" t="s">
        <v>315</v>
      </c>
      <c r="C400" s="586"/>
      <c r="D400" s="586"/>
      <c r="E400" s="586"/>
      <c r="F400" s="586"/>
      <c r="G400" s="586"/>
      <c r="H400" s="586"/>
      <c r="I400" s="586"/>
      <c r="J400" s="586"/>
      <c r="K400" s="586"/>
      <c r="L400" s="587"/>
      <c r="M400" s="168"/>
      <c r="O400" s="154"/>
      <c r="P400" s="154"/>
    </row>
    <row r="401" spans="1:16" s="152" customFormat="1" x14ac:dyDescent="0.25">
      <c r="A401" s="173"/>
      <c r="B401" s="185"/>
      <c r="C401" s="174"/>
      <c r="D401" s="174"/>
      <c r="E401" s="174"/>
      <c r="F401" s="174"/>
      <c r="G401" s="174"/>
      <c r="H401" s="174"/>
      <c r="I401" s="174"/>
      <c r="J401" s="174"/>
      <c r="K401" s="174"/>
      <c r="L401" s="175"/>
      <c r="O401" s="9"/>
      <c r="P401" s="9"/>
    </row>
    <row r="402" spans="1:16" s="152" customFormat="1" x14ac:dyDescent="0.25">
      <c r="A402" s="173"/>
      <c r="B402" s="475" t="str">
        <f>IF(Intro!$G$21="English",O402,P402)</f>
        <v>Fournissez des détails sur tous les facteurs autres que les coûts des matériaux (par exemple, les fluctuations du taux de change) qui ont affecté les prix des marchandises sur le marché canadien depuis le 1er janvier 2023.</v>
      </c>
      <c r="C402" s="476"/>
      <c r="D402" s="476"/>
      <c r="E402" s="476"/>
      <c r="F402" s="476"/>
      <c r="G402" s="476"/>
      <c r="H402" s="476"/>
      <c r="I402" s="476"/>
      <c r="J402" s="476"/>
      <c r="K402" s="476"/>
      <c r="L402" s="477"/>
      <c r="O402"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402"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403" spans="1:16" s="152" customFormat="1" x14ac:dyDescent="0.25">
      <c r="A403" s="173"/>
      <c r="B403" s="475"/>
      <c r="C403" s="476"/>
      <c r="D403" s="476"/>
      <c r="E403" s="476"/>
      <c r="F403" s="476"/>
      <c r="G403" s="476"/>
      <c r="H403" s="476"/>
      <c r="I403" s="476"/>
      <c r="J403" s="476"/>
      <c r="K403" s="476"/>
      <c r="L403" s="477"/>
      <c r="O403" s="9"/>
      <c r="P403" s="9"/>
    </row>
    <row r="404" spans="1:16" s="152" customFormat="1" x14ac:dyDescent="0.25">
      <c r="A404" s="173"/>
      <c r="B404" s="185"/>
      <c r="C404" s="174"/>
      <c r="D404" s="174"/>
      <c r="E404" s="174"/>
      <c r="F404" s="174"/>
      <c r="G404" s="174"/>
      <c r="H404" s="174"/>
      <c r="I404" s="174"/>
      <c r="J404" s="174"/>
      <c r="K404" s="174"/>
      <c r="L404" s="175"/>
      <c r="O404" s="9"/>
      <c r="P404" s="9"/>
    </row>
    <row r="405" spans="1:16" s="3" customFormat="1" x14ac:dyDescent="0.25">
      <c r="A405" s="12"/>
      <c r="B405" s="582"/>
      <c r="C405" s="583"/>
      <c r="D405" s="583"/>
      <c r="E405" s="583"/>
      <c r="F405" s="583"/>
      <c r="G405" s="583"/>
      <c r="H405" s="583"/>
      <c r="I405" s="583"/>
      <c r="J405" s="583"/>
      <c r="K405" s="583"/>
      <c r="L405" s="584"/>
      <c r="M405" s="152"/>
      <c r="O405" s="154"/>
      <c r="P405" s="154"/>
    </row>
    <row r="406" spans="1:16" s="3" customFormat="1" x14ac:dyDescent="0.25">
      <c r="A406" s="12"/>
      <c r="B406" s="582"/>
      <c r="C406" s="583"/>
      <c r="D406" s="583"/>
      <c r="E406" s="583"/>
      <c r="F406" s="583"/>
      <c r="G406" s="583"/>
      <c r="H406" s="583"/>
      <c r="I406" s="583"/>
      <c r="J406" s="583"/>
      <c r="K406" s="583"/>
      <c r="L406" s="584"/>
      <c r="M406" s="152"/>
      <c r="O406" s="154"/>
      <c r="P406" s="154"/>
    </row>
    <row r="407" spans="1:16" s="3" customFormat="1" x14ac:dyDescent="0.25">
      <c r="A407" s="12"/>
      <c r="B407" s="582"/>
      <c r="C407" s="583"/>
      <c r="D407" s="583"/>
      <c r="E407" s="583"/>
      <c r="F407" s="583"/>
      <c r="G407" s="583"/>
      <c r="H407" s="583"/>
      <c r="I407" s="583"/>
      <c r="J407" s="583"/>
      <c r="K407" s="583"/>
      <c r="L407" s="584"/>
      <c r="M407" s="152"/>
      <c r="O407" s="154"/>
      <c r="P407" s="154"/>
    </row>
    <row r="408" spans="1:16" s="3" customFormat="1" x14ac:dyDescent="0.25">
      <c r="A408" s="12"/>
      <c r="B408" s="582"/>
      <c r="C408" s="583"/>
      <c r="D408" s="583"/>
      <c r="E408" s="583"/>
      <c r="F408" s="583"/>
      <c r="G408" s="583"/>
      <c r="H408" s="583"/>
      <c r="I408" s="583"/>
      <c r="J408" s="583"/>
      <c r="K408" s="583"/>
      <c r="L408" s="584"/>
      <c r="M408" s="152"/>
      <c r="O408" s="154"/>
      <c r="P408" s="154"/>
    </row>
    <row r="409" spans="1:16" s="3" customFormat="1" x14ac:dyDescent="0.25">
      <c r="A409" s="12"/>
      <c r="B409" s="582"/>
      <c r="C409" s="583"/>
      <c r="D409" s="583"/>
      <c r="E409" s="583"/>
      <c r="F409" s="583"/>
      <c r="G409" s="583"/>
      <c r="H409" s="583"/>
      <c r="I409" s="583"/>
      <c r="J409" s="583"/>
      <c r="K409" s="583"/>
      <c r="L409" s="584"/>
      <c r="M409" s="152"/>
      <c r="O409" s="154"/>
      <c r="P409" s="154"/>
    </row>
    <row r="410" spans="1:16" s="3" customFormat="1" x14ac:dyDescent="0.25">
      <c r="A410" s="12"/>
      <c r="B410" s="582"/>
      <c r="C410" s="583"/>
      <c r="D410" s="583"/>
      <c r="E410" s="583"/>
      <c r="F410" s="583"/>
      <c r="G410" s="583"/>
      <c r="H410" s="583"/>
      <c r="I410" s="583"/>
      <c r="J410" s="583"/>
      <c r="K410" s="583"/>
      <c r="L410" s="584"/>
      <c r="M410" s="152"/>
      <c r="O410" s="154"/>
      <c r="P410" s="154"/>
    </row>
    <row r="411" spans="1:16" s="3" customFormat="1" x14ac:dyDescent="0.25">
      <c r="A411" s="12"/>
      <c r="B411" s="582"/>
      <c r="C411" s="583"/>
      <c r="D411" s="583"/>
      <c r="E411" s="583"/>
      <c r="F411" s="583"/>
      <c r="G411" s="583"/>
      <c r="H411" s="583"/>
      <c r="I411" s="583"/>
      <c r="J411" s="583"/>
      <c r="K411" s="583"/>
      <c r="L411" s="584"/>
      <c r="M411" s="152"/>
      <c r="O411" s="154"/>
      <c r="P411" s="154"/>
    </row>
    <row r="412" spans="1:16" s="3" customFormat="1" x14ac:dyDescent="0.25">
      <c r="A412" s="12"/>
      <c r="B412" s="582"/>
      <c r="C412" s="583"/>
      <c r="D412" s="583"/>
      <c r="E412" s="583"/>
      <c r="F412" s="583"/>
      <c r="G412" s="583"/>
      <c r="H412" s="583"/>
      <c r="I412" s="583"/>
      <c r="J412" s="583"/>
      <c r="K412" s="583"/>
      <c r="L412" s="584"/>
      <c r="M412" s="152"/>
      <c r="O412" s="154"/>
      <c r="P412" s="154"/>
    </row>
    <row r="413" spans="1:16" s="152" customFormat="1" x14ac:dyDescent="0.25">
      <c r="A413" s="173"/>
      <c r="B413" s="187"/>
      <c r="C413" s="188"/>
      <c r="D413" s="188"/>
      <c r="E413" s="188"/>
      <c r="F413" s="188"/>
      <c r="G413" s="188"/>
      <c r="H413" s="188"/>
      <c r="I413" s="188"/>
      <c r="J413" s="188"/>
      <c r="K413" s="188"/>
      <c r="L413" s="186"/>
      <c r="O413" s="9"/>
      <c r="P413" s="9"/>
    </row>
    <row r="414" spans="1:16" s="3" customFormat="1" x14ac:dyDescent="0.25">
      <c r="A414" s="12"/>
      <c r="B414" s="585" t="s">
        <v>330</v>
      </c>
      <c r="C414" s="586"/>
      <c r="D414" s="586"/>
      <c r="E414" s="586"/>
      <c r="F414" s="586"/>
      <c r="G414" s="586"/>
      <c r="H414" s="586"/>
      <c r="I414" s="586"/>
      <c r="J414" s="586"/>
      <c r="K414" s="586"/>
      <c r="L414" s="587"/>
      <c r="M414" s="168"/>
      <c r="O414" s="154"/>
      <c r="P414" s="154"/>
    </row>
    <row r="415" spans="1:16" s="152" customFormat="1" x14ac:dyDescent="0.25">
      <c r="A415" s="173"/>
      <c r="B415" s="185"/>
      <c r="C415" s="174"/>
      <c r="D415" s="174"/>
      <c r="E415" s="174"/>
      <c r="F415" s="174"/>
      <c r="G415" s="174"/>
      <c r="H415" s="174"/>
      <c r="I415" s="174"/>
      <c r="J415" s="174"/>
      <c r="K415" s="174"/>
      <c r="L415" s="175"/>
      <c r="O415" s="9"/>
      <c r="P415" s="9"/>
    </row>
    <row r="416" spans="1:16" s="152" customFormat="1" x14ac:dyDescent="0.25">
      <c r="A416" s="173"/>
      <c r="B416" s="579" t="str">
        <f>IF(Intro!$G$21="English",O416,P416)</f>
        <v>Décrivez comment les coûts de livraison des marchandises vendues par votre entreprise sont payés.</v>
      </c>
      <c r="C416" s="580"/>
      <c r="D416" s="580"/>
      <c r="E416" s="580"/>
      <c r="F416" s="580"/>
      <c r="G416" s="580"/>
      <c r="H416" s="580"/>
      <c r="I416" s="580"/>
      <c r="J416" s="580"/>
      <c r="K416" s="580"/>
      <c r="L416" s="581"/>
      <c r="O416" s="9" t="s">
        <v>291</v>
      </c>
      <c r="P416" s="9" t="s">
        <v>409</v>
      </c>
    </row>
    <row r="417" spans="1:16" s="152" customFormat="1" x14ac:dyDescent="0.25">
      <c r="A417" s="173"/>
      <c r="B417" s="185"/>
      <c r="C417" s="174"/>
      <c r="D417" s="174"/>
      <c r="E417" s="174"/>
      <c r="F417" s="174"/>
      <c r="G417" s="174"/>
      <c r="H417" s="289" t="str">
        <f>IF(Intro!$G$21="English",O417,P417)</f>
        <v>Sélectionnez toutes les réponses qui s'appliquent</v>
      </c>
      <c r="I417" s="174"/>
      <c r="J417" s="174"/>
      <c r="K417" s="174"/>
      <c r="L417" s="175"/>
      <c r="O417" s="2" t="s">
        <v>787</v>
      </c>
      <c r="P417" s="2" t="s">
        <v>788</v>
      </c>
    </row>
    <row r="418" spans="1:16" x14ac:dyDescent="0.25">
      <c r="B418" s="595" t="str">
        <f>IF(Intro!$G$21="English",O418,P418)</f>
        <v>Votre entreprise s'occupe de la livraison et les frais de livraison sont inclus dans le prix de vente.</v>
      </c>
      <c r="C418" s="596"/>
      <c r="D418" s="596"/>
      <c r="E418" s="596"/>
      <c r="F418" s="596"/>
      <c r="G418" s="597"/>
      <c r="H418" s="208"/>
      <c r="I418" s="174"/>
      <c r="J418" s="174"/>
      <c r="K418" s="174"/>
      <c r="L418" s="175"/>
      <c r="M418" s="2"/>
      <c r="O418" s="9" t="s">
        <v>697</v>
      </c>
      <c r="P418" s="9" t="s">
        <v>702</v>
      </c>
    </row>
    <row r="419" spans="1:16" x14ac:dyDescent="0.25">
      <c r="B419" s="595" t="str">
        <f>IF(Intro!$G$21="English",O419,P419)</f>
        <v>Votre entreprise s'occupe de la livraison mais les frais de livraison sont facturés séparément à l’acheteur.</v>
      </c>
      <c r="C419" s="596"/>
      <c r="D419" s="596"/>
      <c r="E419" s="596"/>
      <c r="F419" s="596"/>
      <c r="G419" s="597"/>
      <c r="H419" s="208"/>
      <c r="I419" s="174"/>
      <c r="J419" s="174"/>
      <c r="K419" s="174"/>
      <c r="L419" s="175"/>
      <c r="M419" s="2"/>
      <c r="O419" s="9" t="s">
        <v>699</v>
      </c>
      <c r="P419" s="9" t="s">
        <v>701</v>
      </c>
    </row>
    <row r="420" spans="1:16" ht="14.25" customHeight="1" x14ac:dyDescent="0.25">
      <c r="B420" s="595" t="str">
        <f>IF(Intro!$G$21="English",O420,P420)</f>
        <v>La livraison et ses frais sont pris en charge par l’acheteur.</v>
      </c>
      <c r="C420" s="596"/>
      <c r="D420" s="596"/>
      <c r="E420" s="596"/>
      <c r="F420" s="596"/>
      <c r="G420" s="597"/>
      <c r="H420" s="208"/>
      <c r="I420" s="174"/>
      <c r="J420" s="174"/>
      <c r="K420" s="174"/>
      <c r="L420" s="175"/>
      <c r="M420" s="2"/>
      <c r="O420" s="9" t="s">
        <v>698</v>
      </c>
      <c r="P420" s="9" t="s">
        <v>700</v>
      </c>
    </row>
    <row r="421" spans="1:16" s="152" customFormat="1" x14ac:dyDescent="0.25">
      <c r="A421" s="173"/>
      <c r="B421" s="185"/>
      <c r="C421" s="174"/>
      <c r="D421" s="174"/>
      <c r="E421" s="174"/>
      <c r="F421" s="174"/>
      <c r="G421" s="174"/>
      <c r="H421" s="174"/>
      <c r="I421" s="174"/>
      <c r="J421" s="174"/>
      <c r="K421" s="174"/>
      <c r="L421" s="175"/>
      <c r="O421" s="9"/>
      <c r="P421" s="9"/>
    </row>
    <row r="422" spans="1:16" s="152" customFormat="1" x14ac:dyDescent="0.25">
      <c r="A422" s="173"/>
      <c r="B422" s="579" t="str">
        <f>IF(Intro!$G$21="English",O422,P422)</f>
        <v>Expliquez si le mode de paiement de la livraison des marchandises vendues par votre entreprise a changé depuis le 1er janvier 2023.</v>
      </c>
      <c r="C422" s="580"/>
      <c r="D422" s="580"/>
      <c r="E422" s="580"/>
      <c r="F422" s="580"/>
      <c r="G422" s="580"/>
      <c r="H422" s="580"/>
      <c r="I422" s="580"/>
      <c r="J422" s="580"/>
      <c r="K422" s="580"/>
      <c r="L422" s="581"/>
      <c r="O422" s="9" t="str">
        <f>"Explain if the method of paying for delivery of the goods sold by your firm has changed since January 1, "&amp;Variables!B6&amp;"."</f>
        <v>Explain if the method of paying for delivery of the goods sold by your firm has changed since January 1, 2023.</v>
      </c>
      <c r="P422"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423" spans="1:16" s="152" customFormat="1" x14ac:dyDescent="0.25">
      <c r="A423" s="173"/>
      <c r="B423" s="185"/>
      <c r="C423" s="174"/>
      <c r="D423" s="174"/>
      <c r="E423" s="174"/>
      <c r="F423" s="174"/>
      <c r="G423" s="174"/>
      <c r="H423" s="174"/>
      <c r="I423" s="174"/>
      <c r="J423" s="174"/>
      <c r="K423" s="174"/>
      <c r="L423" s="175"/>
      <c r="O423" s="9"/>
      <c r="P423" s="9"/>
    </row>
    <row r="424" spans="1:16" s="3" customFormat="1" x14ac:dyDescent="0.25">
      <c r="A424" s="12"/>
      <c r="B424" s="582"/>
      <c r="C424" s="583"/>
      <c r="D424" s="583"/>
      <c r="E424" s="583"/>
      <c r="F424" s="583"/>
      <c r="G424" s="583"/>
      <c r="H424" s="583"/>
      <c r="I424" s="583"/>
      <c r="J424" s="583"/>
      <c r="K424" s="583"/>
      <c r="L424" s="584"/>
      <c r="M424" s="152"/>
      <c r="O424" s="154"/>
      <c r="P424" s="154"/>
    </row>
    <row r="425" spans="1:16" s="3" customFormat="1" x14ac:dyDescent="0.25">
      <c r="A425" s="12"/>
      <c r="B425" s="582"/>
      <c r="C425" s="583"/>
      <c r="D425" s="583"/>
      <c r="E425" s="583"/>
      <c r="F425" s="583"/>
      <c r="G425" s="583"/>
      <c r="H425" s="583"/>
      <c r="I425" s="583"/>
      <c r="J425" s="583"/>
      <c r="K425" s="583"/>
      <c r="L425" s="584"/>
      <c r="M425" s="152"/>
      <c r="O425" s="154"/>
      <c r="P425" s="154"/>
    </row>
    <row r="426" spans="1:16" s="3" customFormat="1" x14ac:dyDescent="0.25">
      <c r="A426" s="12"/>
      <c r="B426" s="582"/>
      <c r="C426" s="583"/>
      <c r="D426" s="583"/>
      <c r="E426" s="583"/>
      <c r="F426" s="583"/>
      <c r="G426" s="583"/>
      <c r="H426" s="583"/>
      <c r="I426" s="583"/>
      <c r="J426" s="583"/>
      <c r="K426" s="583"/>
      <c r="L426" s="584"/>
      <c r="M426" s="152"/>
      <c r="O426" s="154"/>
      <c r="P426" s="154"/>
    </row>
    <row r="427" spans="1:16" s="3" customFormat="1" x14ac:dyDescent="0.25">
      <c r="A427" s="12"/>
      <c r="B427" s="582"/>
      <c r="C427" s="583"/>
      <c r="D427" s="583"/>
      <c r="E427" s="583"/>
      <c r="F427" s="583"/>
      <c r="G427" s="583"/>
      <c r="H427" s="583"/>
      <c r="I427" s="583"/>
      <c r="J427" s="583"/>
      <c r="K427" s="583"/>
      <c r="L427" s="584"/>
      <c r="M427" s="152"/>
      <c r="O427" s="154"/>
      <c r="P427" s="154"/>
    </row>
    <row r="428" spans="1:16" s="3" customFormat="1" x14ac:dyDescent="0.25">
      <c r="A428" s="12"/>
      <c r="B428" s="582"/>
      <c r="C428" s="583"/>
      <c r="D428" s="583"/>
      <c r="E428" s="583"/>
      <c r="F428" s="583"/>
      <c r="G428" s="583"/>
      <c r="H428" s="583"/>
      <c r="I428" s="583"/>
      <c r="J428" s="583"/>
      <c r="K428" s="583"/>
      <c r="L428" s="584"/>
      <c r="M428" s="152"/>
      <c r="O428" s="154"/>
      <c r="P428" s="154"/>
    </row>
    <row r="429" spans="1:16" s="3" customFormat="1" x14ac:dyDescent="0.25">
      <c r="A429" s="12"/>
      <c r="B429" s="582"/>
      <c r="C429" s="583"/>
      <c r="D429" s="583"/>
      <c r="E429" s="583"/>
      <c r="F429" s="583"/>
      <c r="G429" s="583"/>
      <c r="H429" s="583"/>
      <c r="I429" s="583"/>
      <c r="J429" s="583"/>
      <c r="K429" s="583"/>
      <c r="L429" s="584"/>
      <c r="M429" s="152"/>
      <c r="O429" s="154"/>
      <c r="P429" s="154"/>
    </row>
    <row r="430" spans="1:16" s="3" customFormat="1" x14ac:dyDescent="0.25">
      <c r="A430" s="12"/>
      <c r="B430" s="582"/>
      <c r="C430" s="583"/>
      <c r="D430" s="583"/>
      <c r="E430" s="583"/>
      <c r="F430" s="583"/>
      <c r="G430" s="583"/>
      <c r="H430" s="583"/>
      <c r="I430" s="583"/>
      <c r="J430" s="583"/>
      <c r="K430" s="583"/>
      <c r="L430" s="584"/>
      <c r="M430" s="152"/>
      <c r="O430" s="154"/>
      <c r="P430" s="154"/>
    </row>
    <row r="431" spans="1:16" s="3" customFormat="1" x14ac:dyDescent="0.25">
      <c r="A431" s="12"/>
      <c r="B431" s="582"/>
      <c r="C431" s="583"/>
      <c r="D431" s="583"/>
      <c r="E431" s="583"/>
      <c r="F431" s="583"/>
      <c r="G431" s="583"/>
      <c r="H431" s="583"/>
      <c r="I431" s="583"/>
      <c r="J431" s="583"/>
      <c r="K431" s="583"/>
      <c r="L431" s="584"/>
      <c r="M431" s="152"/>
      <c r="O431" s="154"/>
      <c r="P431" s="154"/>
    </row>
    <row r="432" spans="1:16" s="152" customFormat="1" x14ac:dyDescent="0.25">
      <c r="A432" s="173"/>
      <c r="B432" s="187"/>
      <c r="C432" s="188"/>
      <c r="D432" s="188"/>
      <c r="E432" s="188"/>
      <c r="F432" s="188"/>
      <c r="G432" s="188"/>
      <c r="H432" s="188"/>
      <c r="I432" s="188"/>
      <c r="J432" s="188"/>
      <c r="K432" s="188"/>
      <c r="L432" s="186"/>
      <c r="O432" s="9"/>
      <c r="P432" s="9"/>
    </row>
    <row r="433" spans="1:16" s="3" customFormat="1" x14ac:dyDescent="0.25">
      <c r="A433" s="12"/>
      <c r="B433" s="585" t="s">
        <v>331</v>
      </c>
      <c r="C433" s="586"/>
      <c r="D433" s="586"/>
      <c r="E433" s="586"/>
      <c r="F433" s="586"/>
      <c r="G433" s="586"/>
      <c r="H433" s="586"/>
      <c r="I433" s="586"/>
      <c r="J433" s="586"/>
      <c r="K433" s="586"/>
      <c r="L433" s="587"/>
      <c r="M433" s="168"/>
      <c r="O433" s="154"/>
      <c r="P433" s="154"/>
    </row>
    <row r="434" spans="1:16" s="152" customFormat="1" x14ac:dyDescent="0.25">
      <c r="A434" s="173"/>
      <c r="B434" s="185"/>
      <c r="C434" s="174"/>
      <c r="D434" s="174"/>
      <c r="E434" s="174"/>
      <c r="F434" s="174"/>
      <c r="G434" s="174"/>
      <c r="H434" s="174"/>
      <c r="I434" s="174"/>
      <c r="J434" s="174"/>
      <c r="K434" s="174"/>
      <c r="L434" s="175"/>
      <c r="O434" s="9"/>
      <c r="P434" s="9"/>
    </row>
    <row r="435" spans="1:16" s="152" customFormat="1" x14ac:dyDescent="0.25">
      <c r="A435" s="173"/>
      <c r="B435" s="579" t="str">
        <f>IF(Intro!$G$21="English",O435,P435)</f>
        <v>Expliquez si la demande pour les marchandises ou les ventes de marchandises ont changé depuis le 1er janvier 2023.</v>
      </c>
      <c r="C435" s="580"/>
      <c r="D435" s="580"/>
      <c r="E435" s="580"/>
      <c r="F435" s="580"/>
      <c r="G435" s="580"/>
      <c r="H435" s="580"/>
      <c r="I435" s="580"/>
      <c r="J435" s="580"/>
      <c r="K435" s="580"/>
      <c r="L435" s="581"/>
      <c r="O435" s="9" t="str">
        <f>"Explain if demand for the goods or sales of the goods have changed since January 1, "&amp;Variables!B6&amp;"."</f>
        <v>Explain if demand for the goods or sales of the goods have changed since January 1, 2023.</v>
      </c>
      <c r="P435" s="9" t="str">
        <f>"Expliquez si la demande pour les marchandises ou les ventes de marchandises ont changé depuis le 1er janvier "&amp;Variables!B6&amp;"."</f>
        <v>Expliquez si la demande pour les marchandises ou les ventes de marchandises ont changé depuis le 1er janvier 2023.</v>
      </c>
    </row>
    <row r="436" spans="1:16" s="152" customFormat="1" x14ac:dyDescent="0.25">
      <c r="A436" s="173"/>
      <c r="B436" s="185"/>
      <c r="C436" s="174"/>
      <c r="D436" s="174"/>
      <c r="E436" s="174"/>
      <c r="F436" s="174"/>
      <c r="G436" s="174"/>
      <c r="H436" s="174"/>
      <c r="I436" s="174"/>
      <c r="J436" s="174"/>
      <c r="K436" s="174"/>
      <c r="L436" s="175"/>
      <c r="O436" s="9"/>
      <c r="P436" s="9"/>
    </row>
    <row r="437" spans="1:16" s="3" customFormat="1" x14ac:dyDescent="0.25">
      <c r="A437" s="12"/>
      <c r="B437" s="582"/>
      <c r="C437" s="583"/>
      <c r="D437" s="583"/>
      <c r="E437" s="583"/>
      <c r="F437" s="583"/>
      <c r="G437" s="583"/>
      <c r="H437" s="583"/>
      <c r="I437" s="583"/>
      <c r="J437" s="583"/>
      <c r="K437" s="583"/>
      <c r="L437" s="584"/>
      <c r="M437" s="152"/>
      <c r="O437" s="154"/>
      <c r="P437" s="154"/>
    </row>
    <row r="438" spans="1:16" s="3" customFormat="1" x14ac:dyDescent="0.25">
      <c r="A438" s="12"/>
      <c r="B438" s="582"/>
      <c r="C438" s="583"/>
      <c r="D438" s="583"/>
      <c r="E438" s="583"/>
      <c r="F438" s="583"/>
      <c r="G438" s="583"/>
      <c r="H438" s="583"/>
      <c r="I438" s="583"/>
      <c r="J438" s="583"/>
      <c r="K438" s="583"/>
      <c r="L438" s="584"/>
      <c r="M438" s="152"/>
      <c r="O438" s="154"/>
      <c r="P438" s="154"/>
    </row>
    <row r="439" spans="1:16" s="3" customFormat="1" x14ac:dyDescent="0.25">
      <c r="A439" s="12"/>
      <c r="B439" s="582"/>
      <c r="C439" s="583"/>
      <c r="D439" s="583"/>
      <c r="E439" s="583"/>
      <c r="F439" s="583"/>
      <c r="G439" s="583"/>
      <c r="H439" s="583"/>
      <c r="I439" s="583"/>
      <c r="J439" s="583"/>
      <c r="K439" s="583"/>
      <c r="L439" s="584"/>
      <c r="M439" s="152"/>
      <c r="O439" s="154"/>
      <c r="P439" s="154"/>
    </row>
    <row r="440" spans="1:16" s="3" customFormat="1" x14ac:dyDescent="0.25">
      <c r="A440" s="12"/>
      <c r="B440" s="582"/>
      <c r="C440" s="583"/>
      <c r="D440" s="583"/>
      <c r="E440" s="583"/>
      <c r="F440" s="583"/>
      <c r="G440" s="583"/>
      <c r="H440" s="583"/>
      <c r="I440" s="583"/>
      <c r="J440" s="583"/>
      <c r="K440" s="583"/>
      <c r="L440" s="584"/>
      <c r="M440" s="152"/>
      <c r="O440" s="154"/>
      <c r="P440" s="154"/>
    </row>
    <row r="441" spans="1:16" s="3" customFormat="1" x14ac:dyDescent="0.25">
      <c r="A441" s="12"/>
      <c r="B441" s="582"/>
      <c r="C441" s="583"/>
      <c r="D441" s="583"/>
      <c r="E441" s="583"/>
      <c r="F441" s="583"/>
      <c r="G441" s="583"/>
      <c r="H441" s="583"/>
      <c r="I441" s="583"/>
      <c r="J441" s="583"/>
      <c r="K441" s="583"/>
      <c r="L441" s="584"/>
      <c r="M441" s="152"/>
      <c r="O441" s="154"/>
      <c r="P441" s="154"/>
    </row>
    <row r="442" spans="1:16" s="3" customFormat="1" x14ac:dyDescent="0.25">
      <c r="A442" s="12"/>
      <c r="B442" s="582"/>
      <c r="C442" s="583"/>
      <c r="D442" s="583"/>
      <c r="E442" s="583"/>
      <c r="F442" s="583"/>
      <c r="G442" s="583"/>
      <c r="H442" s="583"/>
      <c r="I442" s="583"/>
      <c r="J442" s="583"/>
      <c r="K442" s="583"/>
      <c r="L442" s="584"/>
      <c r="M442" s="152"/>
      <c r="O442" s="154"/>
      <c r="P442" s="154"/>
    </row>
    <row r="443" spans="1:16" s="3" customFormat="1" x14ac:dyDescent="0.25">
      <c r="A443" s="12"/>
      <c r="B443" s="582"/>
      <c r="C443" s="583"/>
      <c r="D443" s="583"/>
      <c r="E443" s="583"/>
      <c r="F443" s="583"/>
      <c r="G443" s="583"/>
      <c r="H443" s="583"/>
      <c r="I443" s="583"/>
      <c r="J443" s="583"/>
      <c r="K443" s="583"/>
      <c r="L443" s="584"/>
      <c r="M443" s="152"/>
      <c r="O443" s="154"/>
      <c r="P443" s="154"/>
    </row>
    <row r="444" spans="1:16" s="3" customFormat="1" x14ac:dyDescent="0.25">
      <c r="A444" s="12"/>
      <c r="B444" s="582"/>
      <c r="C444" s="583"/>
      <c r="D444" s="583"/>
      <c r="E444" s="583"/>
      <c r="F444" s="583"/>
      <c r="G444" s="583"/>
      <c r="H444" s="583"/>
      <c r="I444" s="583"/>
      <c r="J444" s="583"/>
      <c r="K444" s="583"/>
      <c r="L444" s="584"/>
      <c r="M444" s="152"/>
      <c r="O444" s="154"/>
      <c r="P444" s="154"/>
    </row>
    <row r="445" spans="1:16" s="152" customFormat="1" x14ac:dyDescent="0.25">
      <c r="A445" s="173"/>
      <c r="B445" s="187"/>
      <c r="C445" s="188"/>
      <c r="D445" s="188"/>
      <c r="E445" s="188"/>
      <c r="F445" s="188"/>
      <c r="G445" s="188"/>
      <c r="H445" s="188"/>
      <c r="I445" s="188"/>
      <c r="J445" s="188"/>
      <c r="K445" s="188"/>
      <c r="L445" s="186"/>
      <c r="O445" s="9"/>
      <c r="P445" s="9"/>
    </row>
    <row r="447" spans="1:16" x14ac:dyDescent="0.25">
      <c r="B447" s="453" t="str">
        <f>IF(Intro!$G$21="English",O447,P447)</f>
        <v>MARCHÉS</v>
      </c>
      <c r="C447" s="454"/>
      <c r="D447" s="454"/>
      <c r="E447" s="454"/>
      <c r="F447" s="454"/>
      <c r="G447" s="454"/>
      <c r="H447" s="454"/>
      <c r="I447" s="454"/>
      <c r="J447" s="454"/>
      <c r="K447" s="454"/>
      <c r="L447" s="455"/>
      <c r="M447" s="152"/>
      <c r="O447" s="199" t="s">
        <v>655</v>
      </c>
      <c r="P447" s="199" t="s">
        <v>656</v>
      </c>
    </row>
    <row r="448" spans="1:16" x14ac:dyDescent="0.25">
      <c r="B448" s="592" t="s">
        <v>689</v>
      </c>
      <c r="C448" s="593"/>
      <c r="D448" s="593"/>
      <c r="E448" s="593"/>
      <c r="F448" s="593"/>
      <c r="G448" s="593"/>
      <c r="H448" s="593"/>
      <c r="I448" s="593"/>
      <c r="J448" s="593"/>
      <c r="K448" s="593"/>
      <c r="L448" s="594"/>
      <c r="M448" s="2"/>
    </row>
    <row r="449" spans="1:16" x14ac:dyDescent="0.25">
      <c r="B449" s="24"/>
      <c r="C449" s="25"/>
      <c r="D449" s="25"/>
      <c r="E449" s="26"/>
      <c r="F449" s="26"/>
      <c r="G449" s="26"/>
      <c r="H449" s="26"/>
      <c r="I449" s="26"/>
      <c r="J449" s="26"/>
      <c r="K449" s="26"/>
      <c r="L449" s="27"/>
      <c r="M449" s="2"/>
    </row>
    <row r="450" spans="1:16" x14ac:dyDescent="0.25">
      <c r="B450" s="456" t="str">
        <f>IF(Intro!$G$21="English",O450,P450)</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450" s="457"/>
      <c r="D450" s="457"/>
      <c r="E450" s="457"/>
      <c r="F450" s="457"/>
      <c r="G450" s="457"/>
      <c r="H450" s="457"/>
      <c r="I450" s="457"/>
      <c r="J450" s="457"/>
      <c r="K450" s="457"/>
      <c r="L450" s="458"/>
      <c r="M450" s="2"/>
      <c r="O450"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50"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51" spans="1:16" x14ac:dyDescent="0.25">
      <c r="B451" s="456"/>
      <c r="C451" s="457"/>
      <c r="D451" s="457"/>
      <c r="E451" s="457"/>
      <c r="F451" s="457"/>
      <c r="G451" s="457"/>
      <c r="H451" s="457"/>
      <c r="I451" s="457"/>
      <c r="J451" s="457"/>
      <c r="K451" s="457"/>
      <c r="L451" s="458"/>
      <c r="M451" s="2"/>
      <c r="O451" s="155"/>
    </row>
    <row r="452" spans="1:16" s="152" customFormat="1" x14ac:dyDescent="0.25">
      <c r="A452" s="173"/>
      <c r="B452" s="185"/>
      <c r="C452" s="174"/>
      <c r="D452" s="174"/>
      <c r="E452" s="174"/>
      <c r="F452" s="174"/>
      <c r="G452" s="174"/>
      <c r="H452" s="174"/>
      <c r="I452" s="174"/>
      <c r="J452" s="174"/>
      <c r="K452" s="174"/>
      <c r="L452" s="175"/>
      <c r="O452" s="9"/>
      <c r="P452" s="9"/>
    </row>
    <row r="453" spans="1:16" s="3" customFormat="1" x14ac:dyDescent="0.25">
      <c r="A453" s="12"/>
      <c r="B453" s="582"/>
      <c r="C453" s="583"/>
      <c r="D453" s="583"/>
      <c r="E453" s="583"/>
      <c r="F453" s="583"/>
      <c r="G453" s="583"/>
      <c r="H453" s="583"/>
      <c r="I453" s="583"/>
      <c r="J453" s="583"/>
      <c r="K453" s="583"/>
      <c r="L453" s="584"/>
      <c r="M453" s="152"/>
      <c r="O453" s="154"/>
      <c r="P453" s="154"/>
    </row>
    <row r="454" spans="1:16" s="3" customFormat="1" x14ac:dyDescent="0.25">
      <c r="A454" s="12"/>
      <c r="B454" s="582"/>
      <c r="C454" s="583"/>
      <c r="D454" s="583"/>
      <c r="E454" s="583"/>
      <c r="F454" s="583"/>
      <c r="G454" s="583"/>
      <c r="H454" s="583"/>
      <c r="I454" s="583"/>
      <c r="J454" s="583"/>
      <c r="K454" s="583"/>
      <c r="L454" s="584"/>
      <c r="M454" s="152"/>
      <c r="O454" s="154"/>
      <c r="P454" s="154"/>
    </row>
    <row r="455" spans="1:16" s="3" customFormat="1" x14ac:dyDescent="0.25">
      <c r="A455" s="12"/>
      <c r="B455" s="582"/>
      <c r="C455" s="583"/>
      <c r="D455" s="583"/>
      <c r="E455" s="583"/>
      <c r="F455" s="583"/>
      <c r="G455" s="583"/>
      <c r="H455" s="583"/>
      <c r="I455" s="583"/>
      <c r="J455" s="583"/>
      <c r="K455" s="583"/>
      <c r="L455" s="584"/>
      <c r="M455" s="152"/>
      <c r="O455" s="154"/>
      <c r="P455" s="154"/>
    </row>
    <row r="456" spans="1:16" s="3" customFormat="1" x14ac:dyDescent="0.25">
      <c r="A456" s="12"/>
      <c r="B456" s="582"/>
      <c r="C456" s="583"/>
      <c r="D456" s="583"/>
      <c r="E456" s="583"/>
      <c r="F456" s="583"/>
      <c r="G456" s="583"/>
      <c r="H456" s="583"/>
      <c r="I456" s="583"/>
      <c r="J456" s="583"/>
      <c r="K456" s="583"/>
      <c r="L456" s="584"/>
      <c r="M456" s="152"/>
      <c r="O456" s="154"/>
      <c r="P456" s="154"/>
    </row>
    <row r="457" spans="1:16" s="3" customFormat="1" x14ac:dyDescent="0.25">
      <c r="A457" s="12"/>
      <c r="B457" s="582"/>
      <c r="C457" s="583"/>
      <c r="D457" s="583"/>
      <c r="E457" s="583"/>
      <c r="F457" s="583"/>
      <c r="G457" s="583"/>
      <c r="H457" s="583"/>
      <c r="I457" s="583"/>
      <c r="J457" s="583"/>
      <c r="K457" s="583"/>
      <c r="L457" s="584"/>
      <c r="M457" s="152"/>
      <c r="O457" s="154"/>
      <c r="P457" s="154"/>
    </row>
    <row r="458" spans="1:16" s="3" customFormat="1" x14ac:dyDescent="0.25">
      <c r="A458" s="12"/>
      <c r="B458" s="582"/>
      <c r="C458" s="583"/>
      <c r="D458" s="583"/>
      <c r="E458" s="583"/>
      <c r="F458" s="583"/>
      <c r="G458" s="583"/>
      <c r="H458" s="583"/>
      <c r="I458" s="583"/>
      <c r="J458" s="583"/>
      <c r="K458" s="583"/>
      <c r="L458" s="584"/>
      <c r="M458" s="152"/>
      <c r="O458" s="154"/>
      <c r="P458" s="154"/>
    </row>
    <row r="459" spans="1:16" s="3" customFormat="1" x14ac:dyDescent="0.25">
      <c r="A459" s="12"/>
      <c r="B459" s="582"/>
      <c r="C459" s="583"/>
      <c r="D459" s="583"/>
      <c r="E459" s="583"/>
      <c r="F459" s="583"/>
      <c r="G459" s="583"/>
      <c r="H459" s="583"/>
      <c r="I459" s="583"/>
      <c r="J459" s="583"/>
      <c r="K459" s="583"/>
      <c r="L459" s="584"/>
      <c r="M459" s="152"/>
      <c r="O459" s="154"/>
      <c r="P459" s="154"/>
    </row>
    <row r="460" spans="1:16" s="3" customFormat="1" x14ac:dyDescent="0.25">
      <c r="A460" s="12"/>
      <c r="B460" s="582"/>
      <c r="C460" s="583"/>
      <c r="D460" s="583"/>
      <c r="E460" s="583"/>
      <c r="F460" s="583"/>
      <c r="G460" s="583"/>
      <c r="H460" s="583"/>
      <c r="I460" s="583"/>
      <c r="J460" s="583"/>
      <c r="K460" s="583"/>
      <c r="L460" s="584"/>
      <c r="M460" s="152"/>
      <c r="O460" s="154"/>
      <c r="P460" s="154"/>
    </row>
    <row r="461" spans="1:16" s="152" customFormat="1" x14ac:dyDescent="0.25">
      <c r="A461" s="173"/>
      <c r="B461" s="187"/>
      <c r="C461" s="188"/>
      <c r="D461" s="188"/>
      <c r="E461" s="188"/>
      <c r="F461" s="188"/>
      <c r="G461" s="188"/>
      <c r="H461" s="188"/>
      <c r="I461" s="188"/>
      <c r="J461" s="188"/>
      <c r="K461" s="188"/>
      <c r="L461" s="186"/>
      <c r="O461" s="9"/>
      <c r="P461" s="9"/>
    </row>
    <row r="462" spans="1:16" x14ac:dyDescent="0.25">
      <c r="B462" s="585" t="s">
        <v>923</v>
      </c>
      <c r="C462" s="586"/>
      <c r="D462" s="586"/>
      <c r="E462" s="586"/>
      <c r="F462" s="586"/>
      <c r="G462" s="586"/>
      <c r="H462" s="586"/>
      <c r="I462" s="586"/>
      <c r="J462" s="586"/>
      <c r="K462" s="586"/>
      <c r="L462" s="587"/>
      <c r="M462" s="2"/>
    </row>
    <row r="463" spans="1:16" x14ac:dyDescent="0.25">
      <c r="B463" s="24"/>
      <c r="C463" s="25"/>
      <c r="D463" s="25"/>
      <c r="E463" s="26"/>
      <c r="F463" s="26"/>
      <c r="G463" s="26"/>
      <c r="H463" s="26"/>
      <c r="I463" s="26"/>
      <c r="J463" s="26"/>
      <c r="K463" s="26"/>
      <c r="L463" s="27"/>
      <c r="M463" s="2"/>
    </row>
    <row r="464" spans="1:16" x14ac:dyDescent="0.25">
      <c r="B464" s="456" t="str">
        <f>IF(Intro!$G$21="English",O464,P464)</f>
        <v>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v>
      </c>
      <c r="C464" s="457"/>
      <c r="D464" s="457"/>
      <c r="E464" s="457"/>
      <c r="F464" s="457"/>
      <c r="G464" s="457"/>
      <c r="H464" s="457"/>
      <c r="I464" s="457"/>
      <c r="J464" s="457"/>
      <c r="K464" s="457"/>
      <c r="L464" s="458"/>
      <c r="M464" s="2"/>
      <c r="O464"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64" s="9" t="s">
        <v>705</v>
      </c>
    </row>
    <row r="465" spans="1:17" x14ac:dyDescent="0.25">
      <c r="B465" s="456"/>
      <c r="C465" s="457"/>
      <c r="D465" s="457"/>
      <c r="E465" s="457"/>
      <c r="F465" s="457"/>
      <c r="G465" s="457"/>
      <c r="H465" s="457"/>
      <c r="I465" s="457"/>
      <c r="J465" s="457"/>
      <c r="K465" s="457"/>
      <c r="L465" s="458"/>
      <c r="M465" s="2"/>
      <c r="O465" s="155"/>
    </row>
    <row r="466" spans="1:17" s="152" customFormat="1" x14ac:dyDescent="0.25">
      <c r="A466" s="173"/>
      <c r="B466" s="185"/>
      <c r="C466" s="174"/>
      <c r="D466" s="174"/>
      <c r="E466" s="174"/>
      <c r="F466" s="174"/>
      <c r="G466" s="174"/>
      <c r="H466" s="174"/>
      <c r="I466" s="174"/>
      <c r="J466" s="174"/>
      <c r="K466" s="174"/>
      <c r="L466" s="175"/>
      <c r="O466" s="9"/>
      <c r="P466" s="9"/>
    </row>
    <row r="467" spans="1:17" s="3" customFormat="1" x14ac:dyDescent="0.25">
      <c r="A467" s="12"/>
      <c r="B467" s="582"/>
      <c r="C467" s="583"/>
      <c r="D467" s="583"/>
      <c r="E467" s="583"/>
      <c r="F467" s="583"/>
      <c r="G467" s="583"/>
      <c r="H467" s="583"/>
      <c r="I467" s="583"/>
      <c r="J467" s="583"/>
      <c r="K467" s="583"/>
      <c r="L467" s="584"/>
      <c r="M467" s="152"/>
      <c r="O467" s="154"/>
      <c r="P467" s="154"/>
    </row>
    <row r="468" spans="1:17" s="3" customFormat="1" x14ac:dyDescent="0.25">
      <c r="A468" s="12"/>
      <c r="B468" s="582"/>
      <c r="C468" s="583"/>
      <c r="D468" s="583"/>
      <c r="E468" s="583"/>
      <c r="F468" s="583"/>
      <c r="G468" s="583"/>
      <c r="H468" s="583"/>
      <c r="I468" s="583"/>
      <c r="J468" s="583"/>
      <c r="K468" s="583"/>
      <c r="L468" s="584"/>
      <c r="M468" s="152"/>
      <c r="O468" s="154"/>
      <c r="P468" s="154"/>
    </row>
    <row r="469" spans="1:17" s="3" customFormat="1" x14ac:dyDescent="0.25">
      <c r="A469" s="12"/>
      <c r="B469" s="582"/>
      <c r="C469" s="583"/>
      <c r="D469" s="583"/>
      <c r="E469" s="583"/>
      <c r="F469" s="583"/>
      <c r="G469" s="583"/>
      <c r="H469" s="583"/>
      <c r="I469" s="583"/>
      <c r="J469" s="583"/>
      <c r="K469" s="583"/>
      <c r="L469" s="584"/>
      <c r="M469" s="152"/>
      <c r="O469" s="154"/>
      <c r="P469" s="154"/>
    </row>
    <row r="470" spans="1:17" s="3" customFormat="1" x14ac:dyDescent="0.25">
      <c r="A470" s="12"/>
      <c r="B470" s="582"/>
      <c r="C470" s="583"/>
      <c r="D470" s="583"/>
      <c r="E470" s="583"/>
      <c r="F470" s="583"/>
      <c r="G470" s="583"/>
      <c r="H470" s="583"/>
      <c r="I470" s="583"/>
      <c r="J470" s="583"/>
      <c r="K470" s="583"/>
      <c r="L470" s="584"/>
      <c r="M470" s="152"/>
      <c r="O470" s="154"/>
      <c r="P470" s="154"/>
    </row>
    <row r="471" spans="1:17" s="3" customFormat="1" x14ac:dyDescent="0.25">
      <c r="A471" s="12"/>
      <c r="B471" s="582"/>
      <c r="C471" s="583"/>
      <c r="D471" s="583"/>
      <c r="E471" s="583"/>
      <c r="F471" s="583"/>
      <c r="G471" s="583"/>
      <c r="H471" s="583"/>
      <c r="I471" s="583"/>
      <c r="J471" s="583"/>
      <c r="K471" s="583"/>
      <c r="L471" s="584"/>
      <c r="M471" s="152"/>
      <c r="O471" s="154"/>
      <c r="P471" s="154"/>
    </row>
    <row r="472" spans="1:17" s="3" customFormat="1" x14ac:dyDescent="0.25">
      <c r="A472" s="12"/>
      <c r="B472" s="582"/>
      <c r="C472" s="583"/>
      <c r="D472" s="583"/>
      <c r="E472" s="583"/>
      <c r="F472" s="583"/>
      <c r="G472" s="583"/>
      <c r="H472" s="583"/>
      <c r="I472" s="583"/>
      <c r="J472" s="583"/>
      <c r="K472" s="583"/>
      <c r="L472" s="584"/>
      <c r="M472" s="152"/>
      <c r="O472" s="154"/>
      <c r="P472" s="154"/>
    </row>
    <row r="473" spans="1:17" s="3" customFormat="1" x14ac:dyDescent="0.25">
      <c r="A473" s="12"/>
      <c r="B473" s="582"/>
      <c r="C473" s="583"/>
      <c r="D473" s="583"/>
      <c r="E473" s="583"/>
      <c r="F473" s="583"/>
      <c r="G473" s="583"/>
      <c r="H473" s="583"/>
      <c r="I473" s="583"/>
      <c r="J473" s="583"/>
      <c r="K473" s="583"/>
      <c r="L473" s="584"/>
      <c r="M473" s="152"/>
      <c r="O473" s="154"/>
      <c r="P473" s="154"/>
    </row>
    <row r="474" spans="1:17" s="3" customFormat="1" x14ac:dyDescent="0.25">
      <c r="A474" s="12"/>
      <c r="B474" s="582"/>
      <c r="C474" s="583"/>
      <c r="D474" s="583"/>
      <c r="E474" s="583"/>
      <c r="F474" s="583"/>
      <c r="G474" s="583"/>
      <c r="H474" s="583"/>
      <c r="I474" s="583"/>
      <c r="J474" s="583"/>
      <c r="K474" s="583"/>
      <c r="L474" s="584"/>
      <c r="M474" s="152"/>
      <c r="O474" s="154"/>
      <c r="P474" s="154"/>
    </row>
    <row r="475" spans="1:17" s="152" customFormat="1" x14ac:dyDescent="0.25">
      <c r="A475" s="173"/>
      <c r="B475" s="187"/>
      <c r="C475" s="188"/>
      <c r="D475" s="188"/>
      <c r="E475" s="188"/>
      <c r="F475" s="188"/>
      <c r="G475" s="188"/>
      <c r="H475" s="188"/>
      <c r="I475" s="188"/>
      <c r="J475" s="188"/>
      <c r="K475" s="188"/>
      <c r="L475" s="186"/>
      <c r="O475" s="9"/>
      <c r="P475" s="9"/>
    </row>
    <row r="476" spans="1:17" x14ac:dyDescent="0.25">
      <c r="B476" s="588" t="s">
        <v>924</v>
      </c>
      <c r="C476" s="589"/>
      <c r="D476" s="589"/>
      <c r="E476" s="589"/>
      <c r="F476" s="590"/>
      <c r="G476" s="590"/>
      <c r="H476" s="590"/>
      <c r="I476" s="590"/>
      <c r="J476" s="590"/>
      <c r="K476" s="590"/>
      <c r="L476" s="591"/>
      <c r="O476" s="2"/>
      <c r="P476" s="2"/>
    </row>
    <row r="477" spans="1:17" x14ac:dyDescent="0.25">
      <c r="B477" s="224"/>
      <c r="C477" s="225"/>
      <c r="D477" s="225"/>
      <c r="E477" s="225"/>
      <c r="F477" s="171"/>
      <c r="G477" s="171"/>
      <c r="H477" s="171"/>
      <c r="I477" s="171"/>
      <c r="J477" s="171"/>
      <c r="K477" s="171"/>
      <c r="L477" s="172"/>
      <c r="O477" s="2"/>
      <c r="P477" s="2"/>
    </row>
    <row r="478" spans="1:17" x14ac:dyDescent="0.25">
      <c r="B478" s="475" t="str">
        <f>IF(Intro!$G$21="English",O478,P478)</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478" s="476"/>
      <c r="D478" s="476"/>
      <c r="E478" s="476"/>
      <c r="F478" s="476"/>
      <c r="G478" s="476"/>
      <c r="H478" s="476"/>
      <c r="I478" s="476"/>
      <c r="J478" s="476"/>
      <c r="K478" s="476"/>
      <c r="L478" s="477"/>
      <c r="O478" s="155" t="s">
        <v>687</v>
      </c>
      <c r="P478" s="10" t="s">
        <v>688</v>
      </c>
      <c r="Q478" s="10"/>
    </row>
    <row r="479" spans="1:17" x14ac:dyDescent="0.25">
      <c r="B479" s="475"/>
      <c r="C479" s="476"/>
      <c r="D479" s="476"/>
      <c r="E479" s="476"/>
      <c r="F479" s="476"/>
      <c r="G479" s="476"/>
      <c r="H479" s="476"/>
      <c r="I479" s="476"/>
      <c r="J479" s="476"/>
      <c r="K479" s="476"/>
      <c r="L479" s="477"/>
      <c r="O479" s="155"/>
      <c r="P479" s="226"/>
      <c r="Q479" s="226"/>
    </row>
    <row r="480" spans="1:17" x14ac:dyDescent="0.25">
      <c r="B480" s="164"/>
      <c r="C480" s="151"/>
      <c r="D480" s="151"/>
      <c r="E480" s="151"/>
      <c r="F480" s="151"/>
      <c r="G480" s="151"/>
      <c r="H480" s="151"/>
      <c r="I480" s="151"/>
      <c r="J480" s="151"/>
      <c r="K480" s="151"/>
      <c r="L480" s="162"/>
      <c r="O480" s="227"/>
      <c r="P480" s="227"/>
      <c r="Q480" s="228"/>
    </row>
    <row r="481" spans="1:17" s="3" customFormat="1" x14ac:dyDescent="0.25">
      <c r="A481" s="12"/>
      <c r="B481" s="582"/>
      <c r="C481" s="583"/>
      <c r="D481" s="583"/>
      <c r="E481" s="583"/>
      <c r="F481" s="583"/>
      <c r="G481" s="583"/>
      <c r="H481" s="583"/>
      <c r="I481" s="583"/>
      <c r="J481" s="583"/>
      <c r="K481" s="583"/>
      <c r="L481" s="584"/>
      <c r="M481" s="152"/>
      <c r="Q481" s="2"/>
    </row>
    <row r="482" spans="1:17" s="3" customFormat="1" x14ac:dyDescent="0.25">
      <c r="A482" s="12"/>
      <c r="B482" s="582"/>
      <c r="C482" s="583"/>
      <c r="D482" s="583"/>
      <c r="E482" s="583"/>
      <c r="F482" s="583"/>
      <c r="G482" s="583"/>
      <c r="H482" s="583"/>
      <c r="I482" s="583"/>
      <c r="J482" s="583"/>
      <c r="K482" s="583"/>
      <c r="L482" s="584"/>
      <c r="M482" s="152"/>
      <c r="Q482" s="2"/>
    </row>
    <row r="483" spans="1:17" s="3" customFormat="1" x14ac:dyDescent="0.25">
      <c r="A483" s="12"/>
      <c r="B483" s="582"/>
      <c r="C483" s="583"/>
      <c r="D483" s="583"/>
      <c r="E483" s="583"/>
      <c r="F483" s="583"/>
      <c r="G483" s="583"/>
      <c r="H483" s="583"/>
      <c r="I483" s="583"/>
      <c r="J483" s="583"/>
      <c r="K483" s="583"/>
      <c r="L483" s="584"/>
      <c r="M483" s="152"/>
      <c r="O483" s="154"/>
      <c r="P483" s="154"/>
    </row>
    <row r="484" spans="1:17" s="3" customFormat="1" x14ac:dyDescent="0.25">
      <c r="A484" s="12"/>
      <c r="B484" s="582"/>
      <c r="C484" s="583"/>
      <c r="D484" s="583"/>
      <c r="E484" s="583"/>
      <c r="F484" s="583"/>
      <c r="G484" s="583"/>
      <c r="H484" s="583"/>
      <c r="I484" s="583"/>
      <c r="J484" s="583"/>
      <c r="K484" s="583"/>
      <c r="L484" s="584"/>
      <c r="M484" s="152"/>
      <c r="O484" s="154"/>
      <c r="P484" s="154"/>
    </row>
    <row r="485" spans="1:17" s="3" customFormat="1" x14ac:dyDescent="0.25">
      <c r="A485" s="12"/>
      <c r="B485" s="582"/>
      <c r="C485" s="583"/>
      <c r="D485" s="583"/>
      <c r="E485" s="583"/>
      <c r="F485" s="583"/>
      <c r="G485" s="583"/>
      <c r="H485" s="583"/>
      <c r="I485" s="583"/>
      <c r="J485" s="583"/>
      <c r="K485" s="583"/>
      <c r="L485" s="584"/>
      <c r="M485" s="152"/>
      <c r="Q485" s="2"/>
    </row>
    <row r="486" spans="1:17" s="3" customFormat="1" x14ac:dyDescent="0.25">
      <c r="A486" s="12"/>
      <c r="B486" s="582"/>
      <c r="C486" s="583"/>
      <c r="D486" s="583"/>
      <c r="E486" s="583"/>
      <c r="F486" s="583"/>
      <c r="G486" s="583"/>
      <c r="H486" s="583"/>
      <c r="I486" s="583"/>
      <c r="J486" s="583"/>
      <c r="K486" s="583"/>
      <c r="L486" s="584"/>
      <c r="M486" s="152"/>
      <c r="Q486" s="2"/>
    </row>
    <row r="487" spans="1:17" s="3" customFormat="1" x14ac:dyDescent="0.25">
      <c r="A487" s="12"/>
      <c r="B487" s="582"/>
      <c r="C487" s="583"/>
      <c r="D487" s="583"/>
      <c r="E487" s="583"/>
      <c r="F487" s="583"/>
      <c r="G487" s="583"/>
      <c r="H487" s="583"/>
      <c r="I487" s="583"/>
      <c r="J487" s="583"/>
      <c r="K487" s="583"/>
      <c r="L487" s="584"/>
      <c r="M487" s="152"/>
      <c r="Q487" s="2"/>
    </row>
    <row r="488" spans="1:17" s="3" customFormat="1" x14ac:dyDescent="0.25">
      <c r="A488" s="12"/>
      <c r="B488" s="582"/>
      <c r="C488" s="583"/>
      <c r="D488" s="583"/>
      <c r="E488" s="583"/>
      <c r="F488" s="583"/>
      <c r="G488" s="583"/>
      <c r="H488" s="583"/>
      <c r="I488" s="583"/>
      <c r="J488" s="583"/>
      <c r="K488" s="583"/>
      <c r="L488" s="584"/>
      <c r="M488" s="152"/>
      <c r="Q488" s="2"/>
    </row>
    <row r="489" spans="1:17" x14ac:dyDescent="0.25">
      <c r="B489" s="598"/>
      <c r="C489" s="599"/>
      <c r="D489" s="599"/>
      <c r="E489" s="599"/>
      <c r="F489" s="599"/>
      <c r="G489" s="599"/>
      <c r="H489" s="599"/>
      <c r="I489" s="599"/>
      <c r="J489" s="599"/>
      <c r="K489" s="599"/>
      <c r="L489" s="600"/>
      <c r="O489" s="2"/>
      <c r="P489" s="2"/>
    </row>
  </sheetData>
  <sheetProtection algorithmName="SHA-512" hashValue="kNqJ+XlCxi64S5CwtYsRhOxTY+o6Y1ZtghPudLT76roi4h7AM35DJwLRGVGesrieKAscRSplPHewJX4Otdcxow==" saltValue="28iXuntGG4muZIRgGudVFw==" spinCount="100000" sheet="1" objects="1" scenarios="1" selectLockedCells="1"/>
  <mergeCells count="206">
    <mergeCell ref="B70:L70"/>
    <mergeCell ref="B83:L83"/>
    <mergeCell ref="B97:L97"/>
    <mergeCell ref="B158:L158"/>
    <mergeCell ref="B179:L179"/>
    <mergeCell ref="B192:L192"/>
    <mergeCell ref="B207:L207"/>
    <mergeCell ref="B74:L81"/>
    <mergeCell ref="B162:L169"/>
    <mergeCell ref="B183:L190"/>
    <mergeCell ref="B196:L203"/>
    <mergeCell ref="G137:H146"/>
    <mergeCell ref="B99:L99"/>
    <mergeCell ref="C101:D106"/>
    <mergeCell ref="E101:F106"/>
    <mergeCell ref="G101:H106"/>
    <mergeCell ref="I101:J106"/>
    <mergeCell ref="K101:L106"/>
    <mergeCell ref="B206:L206"/>
    <mergeCell ref="B85:L85"/>
    <mergeCell ref="B86:L86"/>
    <mergeCell ref="B87:C87"/>
    <mergeCell ref="B89:L89"/>
    <mergeCell ref="B90:L93"/>
    <mergeCell ref="B46:B47"/>
    <mergeCell ref="B467:L474"/>
    <mergeCell ref="B107:B116"/>
    <mergeCell ref="C107:D116"/>
    <mergeCell ref="E107:F116"/>
    <mergeCell ref="G107:H116"/>
    <mergeCell ref="I107:J116"/>
    <mergeCell ref="K107:L116"/>
    <mergeCell ref="B117:B126"/>
    <mergeCell ref="C117:D126"/>
    <mergeCell ref="E117:F126"/>
    <mergeCell ref="G117:H126"/>
    <mergeCell ref="I117:J126"/>
    <mergeCell ref="K117:L126"/>
    <mergeCell ref="B127:B136"/>
    <mergeCell ref="C127:D136"/>
    <mergeCell ref="E127:F136"/>
    <mergeCell ref="B462:L462"/>
    <mergeCell ref="G127:H136"/>
    <mergeCell ref="I127:J136"/>
    <mergeCell ref="K127:L136"/>
    <mergeCell ref="B137:B146"/>
    <mergeCell ref="C137:D146"/>
    <mergeCell ref="E137:F146"/>
    <mergeCell ref="E42:F43"/>
    <mergeCell ref="G42:I43"/>
    <mergeCell ref="J42:L43"/>
    <mergeCell ref="C44:D45"/>
    <mergeCell ref="B298:L305"/>
    <mergeCell ref="B321:L328"/>
    <mergeCell ref="I137:J146"/>
    <mergeCell ref="K137:L146"/>
    <mergeCell ref="B147:B156"/>
    <mergeCell ref="C147:D156"/>
    <mergeCell ref="E147:F156"/>
    <mergeCell ref="G147:H156"/>
    <mergeCell ref="I147:J156"/>
    <mergeCell ref="K147:L156"/>
    <mergeCell ref="B317:L317"/>
    <mergeCell ref="B171:L171"/>
    <mergeCell ref="B175:C175"/>
    <mergeCell ref="B176:C176"/>
    <mergeCell ref="B177:C177"/>
    <mergeCell ref="D175:L175"/>
    <mergeCell ref="D176:L176"/>
    <mergeCell ref="B54:B55"/>
    <mergeCell ref="B61:L68"/>
    <mergeCell ref="G50:I51"/>
    <mergeCell ref="B59:L59"/>
    <mergeCell ref="B72:L72"/>
    <mergeCell ref="B96:L96"/>
    <mergeCell ref="B28:L32"/>
    <mergeCell ref="G54:I55"/>
    <mergeCell ref="J54:L55"/>
    <mergeCell ref="C40:D41"/>
    <mergeCell ref="E40:F41"/>
    <mergeCell ref="G40:I41"/>
    <mergeCell ref="J40:L41"/>
    <mergeCell ref="C42:D43"/>
    <mergeCell ref="B36:B37"/>
    <mergeCell ref="C36:D37"/>
    <mergeCell ref="E36:F37"/>
    <mergeCell ref="G36:I37"/>
    <mergeCell ref="J36:L37"/>
    <mergeCell ref="C38:D39"/>
    <mergeCell ref="E38:F39"/>
    <mergeCell ref="G38:I39"/>
    <mergeCell ref="J38:L39"/>
    <mergeCell ref="B38:B39"/>
    <mergeCell ref="B40:B41"/>
    <mergeCell ref="B42:B43"/>
    <mergeCell ref="B44:B45"/>
    <mergeCell ref="B4:L4"/>
    <mergeCell ref="B5:L5"/>
    <mergeCell ref="B6:L6"/>
    <mergeCell ref="J34:L35"/>
    <mergeCell ref="B12:L12"/>
    <mergeCell ref="B8:L8"/>
    <mergeCell ref="B9:L9"/>
    <mergeCell ref="B10:L10"/>
    <mergeCell ref="B15:L15"/>
    <mergeCell ref="C34:D35"/>
    <mergeCell ref="E34:F35"/>
    <mergeCell ref="G34:I35"/>
    <mergeCell ref="B17:L24"/>
    <mergeCell ref="B13:L13"/>
    <mergeCell ref="B26:L26"/>
    <mergeCell ref="B57:L57"/>
    <mergeCell ref="C46:D47"/>
    <mergeCell ref="E46:F47"/>
    <mergeCell ref="G46:I47"/>
    <mergeCell ref="J46:L47"/>
    <mergeCell ref="C48:D49"/>
    <mergeCell ref="E48:F49"/>
    <mergeCell ref="G48:I49"/>
    <mergeCell ref="E44:F45"/>
    <mergeCell ref="G44:I45"/>
    <mergeCell ref="J44:L45"/>
    <mergeCell ref="B48:B49"/>
    <mergeCell ref="B50:B51"/>
    <mergeCell ref="B52:B53"/>
    <mergeCell ref="J48:L49"/>
    <mergeCell ref="C50:D51"/>
    <mergeCell ref="E50:F51"/>
    <mergeCell ref="J50:L51"/>
    <mergeCell ref="C52:D53"/>
    <mergeCell ref="E52:F53"/>
    <mergeCell ref="G52:I53"/>
    <mergeCell ref="J52:L53"/>
    <mergeCell ref="C54:D55"/>
    <mergeCell ref="E54:F55"/>
    <mergeCell ref="B489:L489"/>
    <mergeCell ref="B435:L435"/>
    <mergeCell ref="B160:L160"/>
    <mergeCell ref="B209:L209"/>
    <mergeCell ref="B194:L194"/>
    <mergeCell ref="B296:C296"/>
    <mergeCell ref="B319:L319"/>
    <mergeCell ref="B332:L332"/>
    <mergeCell ref="B181:L181"/>
    <mergeCell ref="B280:L280"/>
    <mergeCell ref="B211:D215"/>
    <mergeCell ref="E211:L215"/>
    <mergeCell ref="B216:D220"/>
    <mergeCell ref="E216:L220"/>
    <mergeCell ref="B227:L227"/>
    <mergeCell ref="B241:L241"/>
    <mergeCell ref="B278:L278"/>
    <mergeCell ref="B291:L291"/>
    <mergeCell ref="B330:L330"/>
    <mergeCell ref="B343:L343"/>
    <mergeCell ref="B359:L359"/>
    <mergeCell ref="D177:L177"/>
    <mergeCell ref="B173:L173"/>
    <mergeCell ref="B334:L341"/>
    <mergeCell ref="B478:L479"/>
    <mergeCell ref="B481:L488"/>
    <mergeCell ref="B464:L465"/>
    <mergeCell ref="B221:D225"/>
    <mergeCell ref="E221:L225"/>
    <mergeCell ref="B229:L230"/>
    <mergeCell ref="B243:L244"/>
    <mergeCell ref="B293:L294"/>
    <mergeCell ref="B345:L346"/>
    <mergeCell ref="B374:L375"/>
    <mergeCell ref="B388:L389"/>
    <mergeCell ref="B402:L403"/>
    <mergeCell ref="B348:L355"/>
    <mergeCell ref="B363:L370"/>
    <mergeCell ref="B377:L384"/>
    <mergeCell ref="B391:L398"/>
    <mergeCell ref="B416:L416"/>
    <mergeCell ref="B361:L361"/>
    <mergeCell ref="B232:L239"/>
    <mergeCell ref="B400:L400"/>
    <mergeCell ref="B245:L252"/>
    <mergeCell ref="B282:L289"/>
    <mergeCell ref="B405:L412"/>
    <mergeCell ref="B358:L358"/>
    <mergeCell ref="B306:L306"/>
    <mergeCell ref="B308:L315"/>
    <mergeCell ref="B256:L257"/>
    <mergeCell ref="B258:L265"/>
    <mergeCell ref="B268:L269"/>
    <mergeCell ref="B270:L277"/>
    <mergeCell ref="B254:L254"/>
    <mergeCell ref="B266:L266"/>
    <mergeCell ref="B476:L476"/>
    <mergeCell ref="B447:L447"/>
    <mergeCell ref="B424:L431"/>
    <mergeCell ref="B437:L444"/>
    <mergeCell ref="B453:L460"/>
    <mergeCell ref="B450:L451"/>
    <mergeCell ref="B422:L422"/>
    <mergeCell ref="B372:L372"/>
    <mergeCell ref="B386:L386"/>
    <mergeCell ref="B414:L414"/>
    <mergeCell ref="B433:L433"/>
    <mergeCell ref="B448:L448"/>
    <mergeCell ref="B418:G418"/>
    <mergeCell ref="B419:G419"/>
    <mergeCell ref="B420:G420"/>
  </mergeCells>
  <dataValidations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4 B162:B164 B183:B185 B196 B17 B232 B234:B235 B282 B298 B321 B334 B348 B363 B377 B391 B405 B424 B437 B453 B467 B469 B483 B61 B481 B198:B199 B245:B247 B285:B286 B300:B301 B324:B325 B337:B338 B351:B352 B365:B366 B379:B380 B393 B407 B426 B439 B455 B308 B311:B312 B258:B260 B270:B272"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96" xr:uid="{51751D26-3857-4105-8CD2-B60852B0348B}">
      <formula1>0</formula1>
    </dataValidation>
    <dataValidation allowBlank="1" showInputMessage="1" showErrorMessage="1" sqref="C107:L156 D175:L177 E211:L225" xr:uid="{8A842A76-AF5B-4A75-951F-E39EA499330C}"/>
    <dataValidation type="list" allowBlank="1" showInputMessage="1" showErrorMessage="1" sqref="H418:H420"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9" min="1" max="11" man="1"/>
    <brk id="136" min="1" max="11" man="1"/>
    <brk id="205" min="1" max="11" man="1"/>
    <brk id="290" min="1" max="11" man="1"/>
    <brk id="357" min="1" max="11" man="1"/>
    <brk id="413" min="1" max="11" man="1"/>
    <brk id="475"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7BF4CD1-21FE-465C-9B11-0AC2603C5337}">
          <x14:formula1>
            <xm:f>Variables!$D$54:$D$55</xm:f>
          </x14:formula1>
          <xm:sqref>D87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109C-BE80-4560-8E46-E3B3B996FF06}">
  <sheetPr>
    <tabColor rgb="FF00B0F0"/>
    <pageSetUpPr fitToPage="1"/>
  </sheetPr>
  <dimension ref="A1:AZ41"/>
  <sheetViews>
    <sheetView showGridLines="0" zoomScaleNormal="100" workbookViewId="0"/>
  </sheetViews>
  <sheetFormatPr defaultColWidth="8.5703125" defaultRowHeight="14.25" x14ac:dyDescent="0.25"/>
  <cols>
    <col min="1" max="1" width="2.42578125" style="259" customWidth="1"/>
    <col min="2" max="12" width="14.5703125" style="261" customWidth="1"/>
    <col min="13" max="14" width="14.5703125" style="254" customWidth="1"/>
    <col min="15" max="16" width="14.5703125" style="255" customWidth="1"/>
    <col min="17" max="17" width="8.5703125" style="14"/>
    <col min="18" max="52" width="8.5703125" style="254"/>
    <col min="53" max="16384" width="8.5703125" style="23"/>
  </cols>
  <sheetData>
    <row r="1" spans="1:52" s="247" customFormat="1" x14ac:dyDescent="0.25">
      <c r="A1" s="246"/>
      <c r="C1" s="248"/>
      <c r="O1" s="2" t="s">
        <v>744</v>
      </c>
      <c r="P1" s="2" t="s">
        <v>744</v>
      </c>
      <c r="Q1" s="8"/>
    </row>
    <row r="2" spans="1:52" s="247" customFormat="1" x14ac:dyDescent="0.25">
      <c r="A2" s="246"/>
      <c r="B2" s="248" t="s">
        <v>0</v>
      </c>
      <c r="C2" s="248"/>
      <c r="O2" s="3" t="s">
        <v>166</v>
      </c>
      <c r="P2" s="3" t="s">
        <v>167</v>
      </c>
      <c r="Q2" s="8"/>
    </row>
    <row r="3" spans="1:52" s="247" customFormat="1" x14ac:dyDescent="0.25">
      <c r="A3" s="246"/>
      <c r="B3" s="248"/>
      <c r="C3" s="248"/>
      <c r="O3" s="249"/>
      <c r="P3" s="249"/>
      <c r="Q3" s="8"/>
    </row>
    <row r="4" spans="1:52" s="247" customFormat="1" x14ac:dyDescent="0.25">
      <c r="A4" s="246"/>
      <c r="B4" s="466" t="str">
        <f>Info!B4</f>
        <v>QUESTIONNAIRE À L’INTENTION DES PRODUCTEURS</v>
      </c>
      <c r="C4" s="466"/>
      <c r="D4" s="466"/>
      <c r="E4" s="466"/>
      <c r="F4" s="466"/>
      <c r="G4" s="466"/>
      <c r="H4" s="466"/>
      <c r="I4" s="466"/>
      <c r="J4" s="466"/>
      <c r="K4" s="466"/>
      <c r="L4" s="466"/>
      <c r="O4" s="249"/>
      <c r="P4" s="249"/>
      <c r="Q4" s="8"/>
    </row>
    <row r="5" spans="1:52" s="247" customFormat="1" x14ac:dyDescent="0.25">
      <c r="A5" s="246"/>
      <c r="B5" s="466" t="str">
        <f>Info!B5</f>
        <v>NQ-2026-005</v>
      </c>
      <c r="C5" s="466"/>
      <c r="D5" s="466"/>
      <c r="E5" s="466"/>
      <c r="F5" s="466"/>
      <c r="G5" s="466"/>
      <c r="H5" s="466"/>
      <c r="I5" s="466"/>
      <c r="J5" s="466"/>
      <c r="K5" s="466"/>
      <c r="L5" s="466"/>
      <c r="O5" s="249"/>
      <c r="P5" s="249"/>
      <c r="Q5" s="8"/>
    </row>
    <row r="6" spans="1:52" s="247" customFormat="1" x14ac:dyDescent="0.25">
      <c r="A6" s="246"/>
      <c r="B6" s="466" t="str">
        <f>Info!B6</f>
        <v>CERTAINS RAYONNAGES EN ACIER</v>
      </c>
      <c r="C6" s="466"/>
      <c r="D6" s="466"/>
      <c r="E6" s="466"/>
      <c r="F6" s="466"/>
      <c r="G6" s="466"/>
      <c r="H6" s="466"/>
      <c r="I6" s="466"/>
      <c r="J6" s="466"/>
      <c r="K6" s="466"/>
      <c r="L6" s="466"/>
      <c r="O6" s="249"/>
      <c r="P6" s="249"/>
      <c r="Q6" s="8"/>
    </row>
    <row r="7" spans="1:52" s="247" customFormat="1" x14ac:dyDescent="0.25">
      <c r="A7" s="246"/>
      <c r="B7" s="250"/>
      <c r="C7" s="251"/>
      <c r="D7" s="251"/>
      <c r="E7" s="251"/>
      <c r="F7" s="251"/>
      <c r="G7" s="251"/>
      <c r="H7" s="251"/>
      <c r="I7" s="251"/>
      <c r="J7" s="251"/>
      <c r="K7" s="251"/>
      <c r="L7" s="251"/>
      <c r="O7" s="249"/>
      <c r="P7" s="249"/>
      <c r="Q7" s="8"/>
    </row>
    <row r="8" spans="1:52" s="247" customFormat="1" ht="14.25" customHeight="1" x14ac:dyDescent="0.25">
      <c r="A8" s="246"/>
      <c r="B8" s="621" t="str">
        <f>Public!B8</f>
        <v>Les questions suivantes font référence aux marchandises comme définies dans la description du produit de l'onglet Intro.</v>
      </c>
      <c r="C8" s="621"/>
      <c r="D8" s="621"/>
      <c r="E8" s="621"/>
      <c r="F8" s="621"/>
      <c r="G8" s="621"/>
      <c r="H8" s="621"/>
      <c r="I8" s="621"/>
      <c r="J8" s="621"/>
      <c r="K8" s="621"/>
      <c r="L8" s="621"/>
      <c r="O8" s="249"/>
      <c r="P8" s="249"/>
      <c r="Q8" s="8"/>
    </row>
    <row r="9" spans="1:52" s="247" customFormat="1" x14ac:dyDescent="0.25">
      <c r="A9" s="252"/>
      <c r="O9" s="249"/>
      <c r="P9" s="249"/>
      <c r="Q9" s="8"/>
    </row>
    <row r="10" spans="1:52" x14ac:dyDescent="0.25">
      <c r="A10" s="253"/>
      <c r="B10" s="622" t="s">
        <v>727</v>
      </c>
      <c r="C10" s="622"/>
      <c r="D10" s="622"/>
      <c r="E10" s="622"/>
      <c r="F10" s="622"/>
      <c r="G10" s="622"/>
      <c r="H10" s="622"/>
      <c r="I10" s="622"/>
      <c r="J10" s="622"/>
      <c r="K10" s="622"/>
      <c r="L10" s="623"/>
    </row>
    <row r="11" spans="1:52" s="258" customFormat="1" x14ac:dyDescent="0.25">
      <c r="A11" s="253"/>
      <c r="B11" s="588" t="s">
        <v>20</v>
      </c>
      <c r="C11" s="589"/>
      <c r="D11" s="589"/>
      <c r="E11" s="589"/>
      <c r="F11" s="589"/>
      <c r="G11" s="589"/>
      <c r="H11" s="589"/>
      <c r="I11" s="589"/>
      <c r="J11" s="589"/>
      <c r="K11" s="589"/>
      <c r="L11" s="620"/>
      <c r="M11" s="256"/>
      <c r="N11" s="256"/>
      <c r="O11" s="255"/>
      <c r="P11" s="255"/>
      <c r="Q11" s="257"/>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row>
    <row r="12" spans="1:52" s="258" customFormat="1" x14ac:dyDescent="0.25">
      <c r="A12" s="253"/>
      <c r="B12" s="624" t="str">
        <f>IF(Intro!$G$21="English",O12,P12)</f>
        <v>Indiquez les nuances fabriquées au Canada par votre entreprise du 1er janvier 2023 au 31 mars 2026.</v>
      </c>
      <c r="C12" s="625"/>
      <c r="D12" s="625"/>
      <c r="E12" s="625"/>
      <c r="F12" s="625"/>
      <c r="G12" s="625"/>
      <c r="H12" s="625"/>
      <c r="I12" s="625"/>
      <c r="J12" s="625"/>
      <c r="K12" s="625"/>
      <c r="L12" s="626"/>
      <c r="M12" s="256"/>
      <c r="N12" s="256"/>
      <c r="O12" s="255" t="str">
        <f>"Provide the grades produced by your firm in Canada between January 1, "&amp;Variables!B6&amp;" and "&amp;Variables!B7&amp;", "&amp;Variables!B8&amp;". "</f>
        <v xml:space="preserve">Provide the grades produced by your firm in Canada between January 1, 2023 and March 31, 2026. </v>
      </c>
      <c r="P12" s="255" t="str">
        <f>"Indiquez les nuances fabriquées au Canada par votre entreprise du 1er janvier "&amp;Variables!C6&amp;" au "&amp;Variables!C7&amp;" "&amp;Variables!C8&amp;"."</f>
        <v>Indiquez les nuances fabriquées au Canada par votre entreprise du 1er janvier 2023 au 31 mars 2026.</v>
      </c>
      <c r="Q12" s="257"/>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row>
    <row r="13" spans="1:52" x14ac:dyDescent="0.25">
      <c r="B13" s="260"/>
      <c r="L13" s="262"/>
    </row>
    <row r="14" spans="1:52" x14ac:dyDescent="0.25">
      <c r="B14" s="627" t="str">
        <f>IF(Intro!$G$21="English",O14,P14)</f>
        <v>Nuance d'acier</v>
      </c>
      <c r="C14" s="628"/>
      <c r="D14" s="628" t="str">
        <f>IF(Intro!$G$21="English",O15,P15)</f>
        <v>Traitement de la surface 
(c.-à.d. recouverts ou non recouverts)</v>
      </c>
      <c r="E14" s="628"/>
      <c r="F14" s="628" t="str">
        <f>IF(Intro!$G$21="English",O16,P16)</f>
        <v>Vendus au Canada ou exportés</v>
      </c>
      <c r="G14" s="628" t="str">
        <f>IF(Intro!$G$21="English",O17,P17)</f>
        <v>Diamètre extérieur (mm)</v>
      </c>
      <c r="H14" s="628"/>
      <c r="I14" s="628" t="str">
        <f>IF(Intro!$G$21="English",O18,P18)</f>
        <v>Épaisseur de la paroi (mm)</v>
      </c>
      <c r="J14" s="628"/>
      <c r="K14" s="629" t="str">
        <f>IF(Intro!$G$21="English",O19,P19)</f>
        <v>Longueur (m)</v>
      </c>
      <c r="L14" s="630"/>
      <c r="O14" s="255" t="s">
        <v>728</v>
      </c>
      <c r="P14" s="255" t="s">
        <v>729</v>
      </c>
    </row>
    <row r="15" spans="1:52" x14ac:dyDescent="0.25">
      <c r="B15" s="627"/>
      <c r="C15" s="628"/>
      <c r="D15" s="628"/>
      <c r="E15" s="628"/>
      <c r="F15" s="628"/>
      <c r="G15" s="628"/>
      <c r="H15" s="628"/>
      <c r="I15" s="628"/>
      <c r="J15" s="628"/>
      <c r="K15" s="629"/>
      <c r="L15" s="630"/>
      <c r="O15" s="255" t="s">
        <v>730</v>
      </c>
      <c r="P15" s="255" t="s">
        <v>731</v>
      </c>
    </row>
    <row r="16" spans="1:52" x14ac:dyDescent="0.25">
      <c r="B16" s="627"/>
      <c r="C16" s="628"/>
      <c r="D16" s="628"/>
      <c r="E16" s="628"/>
      <c r="F16" s="628"/>
      <c r="G16" s="263" t="s">
        <v>732</v>
      </c>
      <c r="H16" s="263" t="s">
        <v>733</v>
      </c>
      <c r="I16" s="263" t="s">
        <v>732</v>
      </c>
      <c r="J16" s="263" t="s">
        <v>733</v>
      </c>
      <c r="K16" s="263" t="s">
        <v>732</v>
      </c>
      <c r="L16" s="264" t="s">
        <v>733</v>
      </c>
      <c r="O16" s="255" t="s">
        <v>734</v>
      </c>
      <c r="P16" s="255" t="s">
        <v>735</v>
      </c>
    </row>
    <row r="17" spans="1:17" ht="42.75" customHeight="1" x14ac:dyDescent="0.25">
      <c r="B17" s="631"/>
      <c r="C17" s="632"/>
      <c r="D17" s="633"/>
      <c r="E17" s="632"/>
      <c r="F17" s="265"/>
      <c r="G17" s="266"/>
      <c r="H17" s="266"/>
      <c r="I17" s="266"/>
      <c r="J17" s="266"/>
      <c r="K17" s="266"/>
      <c r="L17" s="267"/>
      <c r="O17" s="255" t="s">
        <v>736</v>
      </c>
      <c r="P17" s="255" t="s">
        <v>737</v>
      </c>
    </row>
    <row r="18" spans="1:17" ht="42.75" customHeight="1" x14ac:dyDescent="0.25">
      <c r="B18" s="631"/>
      <c r="C18" s="632"/>
      <c r="D18" s="633"/>
      <c r="E18" s="632"/>
      <c r="F18" s="265"/>
      <c r="G18" s="266"/>
      <c r="H18" s="266"/>
      <c r="I18" s="266"/>
      <c r="J18" s="266"/>
      <c r="K18" s="266"/>
      <c r="L18" s="267"/>
      <c r="O18" s="255" t="s">
        <v>738</v>
      </c>
      <c r="P18" s="255" t="s">
        <v>739</v>
      </c>
    </row>
    <row r="19" spans="1:17" ht="42.75" customHeight="1" x14ac:dyDescent="0.25">
      <c r="B19" s="631"/>
      <c r="C19" s="632"/>
      <c r="D19" s="633"/>
      <c r="E19" s="632"/>
      <c r="F19" s="265"/>
      <c r="G19" s="266"/>
      <c r="H19" s="266"/>
      <c r="I19" s="266"/>
      <c r="J19" s="266"/>
      <c r="K19" s="266"/>
      <c r="L19" s="267"/>
      <c r="O19" s="255" t="s">
        <v>740</v>
      </c>
      <c r="P19" s="255" t="s">
        <v>741</v>
      </c>
    </row>
    <row r="20" spans="1:17" ht="42.75" customHeight="1" x14ac:dyDescent="0.25">
      <c r="B20" s="631"/>
      <c r="C20" s="632"/>
      <c r="D20" s="633"/>
      <c r="E20" s="632"/>
      <c r="F20" s="265"/>
      <c r="G20" s="266"/>
      <c r="H20" s="266"/>
      <c r="I20" s="266"/>
      <c r="J20" s="266"/>
      <c r="K20" s="266"/>
      <c r="L20" s="267"/>
      <c r="O20" s="268"/>
      <c r="P20" s="268"/>
    </row>
    <row r="21" spans="1:17" ht="42.75" customHeight="1" x14ac:dyDescent="0.25">
      <c r="B21" s="631"/>
      <c r="C21" s="632"/>
      <c r="D21" s="633"/>
      <c r="E21" s="632"/>
      <c r="F21" s="265"/>
      <c r="G21" s="266"/>
      <c r="H21" s="266"/>
      <c r="I21" s="266"/>
      <c r="J21" s="266"/>
      <c r="K21" s="266"/>
      <c r="L21" s="267"/>
    </row>
    <row r="22" spans="1:17" ht="42.75" customHeight="1" x14ac:dyDescent="0.25">
      <c r="B22" s="631"/>
      <c r="C22" s="632"/>
      <c r="D22" s="633"/>
      <c r="E22" s="632"/>
      <c r="F22" s="265"/>
      <c r="G22" s="266"/>
      <c r="H22" s="266"/>
      <c r="I22" s="266"/>
      <c r="J22" s="266"/>
      <c r="K22" s="266"/>
      <c r="L22" s="267"/>
    </row>
    <row r="23" spans="1:17" ht="42.75" customHeight="1" x14ac:dyDescent="0.25">
      <c r="B23" s="631"/>
      <c r="C23" s="632"/>
      <c r="D23" s="633"/>
      <c r="E23" s="632"/>
      <c r="F23" s="265"/>
      <c r="G23" s="266"/>
      <c r="H23" s="266"/>
      <c r="I23" s="266"/>
      <c r="J23" s="266"/>
      <c r="K23" s="266"/>
      <c r="L23" s="267"/>
      <c r="O23" s="268"/>
      <c r="P23" s="268"/>
    </row>
    <row r="24" spans="1:17" ht="42.75" customHeight="1" x14ac:dyDescent="0.25">
      <c r="B24" s="631"/>
      <c r="C24" s="632"/>
      <c r="D24" s="633"/>
      <c r="E24" s="632"/>
      <c r="F24" s="265"/>
      <c r="G24" s="266"/>
      <c r="H24" s="266"/>
      <c r="I24" s="266"/>
      <c r="J24" s="266"/>
      <c r="K24" s="266"/>
      <c r="L24" s="267"/>
    </row>
    <row r="25" spans="1:17" ht="42.75" customHeight="1" x14ac:dyDescent="0.25">
      <c r="B25" s="631"/>
      <c r="C25" s="632"/>
      <c r="D25" s="633"/>
      <c r="E25" s="632"/>
      <c r="F25" s="265"/>
      <c r="G25" s="266"/>
      <c r="H25" s="266"/>
      <c r="I25" s="266"/>
      <c r="J25" s="266"/>
      <c r="K25" s="266"/>
      <c r="L25" s="267"/>
    </row>
    <row r="26" spans="1:17" s="254" customFormat="1" ht="42.75" customHeight="1" x14ac:dyDescent="0.25">
      <c r="A26" s="259"/>
      <c r="B26" s="631"/>
      <c r="C26" s="632"/>
      <c r="D26" s="633"/>
      <c r="E26" s="632"/>
      <c r="F26" s="265"/>
      <c r="G26" s="266"/>
      <c r="H26" s="266"/>
      <c r="I26" s="266"/>
      <c r="J26" s="266"/>
      <c r="K26" s="266"/>
      <c r="L26" s="267"/>
      <c r="O26" s="268"/>
      <c r="P26" s="268"/>
      <c r="Q26" s="14"/>
    </row>
    <row r="27" spans="1:17" s="254" customFormat="1" ht="42.75" customHeight="1" x14ac:dyDescent="0.25">
      <c r="A27" s="259"/>
      <c r="B27" s="631"/>
      <c r="C27" s="632"/>
      <c r="D27" s="633"/>
      <c r="E27" s="632"/>
      <c r="F27" s="265"/>
      <c r="G27" s="266"/>
      <c r="H27" s="266"/>
      <c r="I27" s="266"/>
      <c r="J27" s="266"/>
      <c r="K27" s="266"/>
      <c r="L27" s="267"/>
      <c r="O27" s="255"/>
      <c r="P27" s="255"/>
      <c r="Q27" s="14"/>
    </row>
    <row r="28" spans="1:17" s="254" customFormat="1" ht="42.75" customHeight="1" x14ac:dyDescent="0.25">
      <c r="A28" s="259"/>
      <c r="B28" s="631"/>
      <c r="C28" s="632"/>
      <c r="D28" s="633"/>
      <c r="E28" s="632"/>
      <c r="F28" s="265"/>
      <c r="G28" s="266"/>
      <c r="H28" s="266"/>
      <c r="I28" s="266"/>
      <c r="J28" s="266"/>
      <c r="K28" s="266"/>
      <c r="L28" s="267"/>
      <c r="O28" s="255"/>
      <c r="P28" s="255"/>
      <c r="Q28" s="14"/>
    </row>
    <row r="29" spans="1:17" s="254" customFormat="1" ht="42.75" customHeight="1" x14ac:dyDescent="0.25">
      <c r="A29" s="259"/>
      <c r="B29" s="631"/>
      <c r="C29" s="632"/>
      <c r="D29" s="633"/>
      <c r="E29" s="632"/>
      <c r="F29" s="265"/>
      <c r="G29" s="266"/>
      <c r="H29" s="266"/>
      <c r="I29" s="266"/>
      <c r="J29" s="266"/>
      <c r="K29" s="266"/>
      <c r="L29" s="267"/>
      <c r="O29" s="255"/>
      <c r="P29" s="255"/>
      <c r="Q29" s="14"/>
    </row>
    <row r="30" spans="1:17" s="254" customFormat="1" ht="42.75" customHeight="1" x14ac:dyDescent="0.25">
      <c r="A30" s="259"/>
      <c r="B30" s="631"/>
      <c r="C30" s="632"/>
      <c r="D30" s="633"/>
      <c r="E30" s="632"/>
      <c r="F30" s="265"/>
      <c r="G30" s="266"/>
      <c r="H30" s="266"/>
      <c r="I30" s="266"/>
      <c r="J30" s="266"/>
      <c r="K30" s="266"/>
      <c r="L30" s="267"/>
      <c r="O30" s="255"/>
      <c r="P30" s="255"/>
      <c r="Q30" s="14"/>
    </row>
    <row r="31" spans="1:17" s="254" customFormat="1" ht="42.75" customHeight="1" x14ac:dyDescent="0.25">
      <c r="A31" s="259"/>
      <c r="B31" s="631"/>
      <c r="C31" s="632"/>
      <c r="D31" s="633"/>
      <c r="E31" s="632"/>
      <c r="F31" s="265"/>
      <c r="G31" s="266"/>
      <c r="H31" s="266"/>
      <c r="I31" s="266"/>
      <c r="J31" s="266"/>
      <c r="K31" s="266"/>
      <c r="L31" s="267"/>
      <c r="O31" s="255"/>
      <c r="P31" s="255"/>
      <c r="Q31" s="14"/>
    </row>
    <row r="32" spans="1:17" s="254" customFormat="1" ht="42.75" customHeight="1" x14ac:dyDescent="0.25">
      <c r="A32" s="259"/>
      <c r="B32" s="631"/>
      <c r="C32" s="632"/>
      <c r="D32" s="633"/>
      <c r="E32" s="632"/>
      <c r="F32" s="265"/>
      <c r="G32" s="266"/>
      <c r="H32" s="266"/>
      <c r="I32" s="266"/>
      <c r="J32" s="266"/>
      <c r="K32" s="266"/>
      <c r="L32" s="267"/>
      <c r="O32" s="255"/>
      <c r="P32" s="255"/>
      <c r="Q32" s="14"/>
    </row>
    <row r="33" spans="1:17" s="254" customFormat="1" ht="42.75" customHeight="1" x14ac:dyDescent="0.25">
      <c r="A33" s="259"/>
      <c r="B33" s="631"/>
      <c r="C33" s="632"/>
      <c r="D33" s="633"/>
      <c r="E33" s="632"/>
      <c r="F33" s="265"/>
      <c r="G33" s="266"/>
      <c r="H33" s="266"/>
      <c r="I33" s="266"/>
      <c r="J33" s="266"/>
      <c r="K33" s="266"/>
      <c r="L33" s="267"/>
      <c r="O33" s="255"/>
      <c r="P33" s="255"/>
      <c r="Q33" s="14"/>
    </row>
    <row r="34" spans="1:17" s="254" customFormat="1" ht="42.75" customHeight="1" x14ac:dyDescent="0.25">
      <c r="A34" s="259"/>
      <c r="B34" s="631"/>
      <c r="C34" s="632"/>
      <c r="D34" s="633"/>
      <c r="E34" s="632"/>
      <c r="F34" s="265"/>
      <c r="G34" s="266"/>
      <c r="H34" s="266"/>
      <c r="I34" s="266"/>
      <c r="J34" s="266"/>
      <c r="K34" s="266"/>
      <c r="L34" s="267"/>
      <c r="O34" s="255"/>
      <c r="P34" s="255"/>
      <c r="Q34" s="14"/>
    </row>
    <row r="35" spans="1:17" s="254" customFormat="1" ht="42.75" customHeight="1" x14ac:dyDescent="0.25">
      <c r="A35" s="259"/>
      <c r="B35" s="631"/>
      <c r="C35" s="632"/>
      <c r="D35" s="633"/>
      <c r="E35" s="632"/>
      <c r="F35" s="265"/>
      <c r="G35" s="266"/>
      <c r="H35" s="266"/>
      <c r="I35" s="266"/>
      <c r="J35" s="266"/>
      <c r="K35" s="266"/>
      <c r="L35" s="267"/>
      <c r="O35" s="255"/>
      <c r="P35" s="255"/>
      <c r="Q35" s="14"/>
    </row>
    <row r="36" spans="1:17" s="254" customFormat="1" ht="42.75" customHeight="1" x14ac:dyDescent="0.25">
      <c r="A36" s="259"/>
      <c r="B36" s="631"/>
      <c r="C36" s="632"/>
      <c r="D36" s="633"/>
      <c r="E36" s="632"/>
      <c r="F36" s="265"/>
      <c r="G36" s="266"/>
      <c r="H36" s="266"/>
      <c r="I36" s="266"/>
      <c r="J36" s="266"/>
      <c r="K36" s="266"/>
      <c r="L36" s="267"/>
      <c r="O36" s="255"/>
      <c r="P36" s="255"/>
      <c r="Q36" s="14"/>
    </row>
    <row r="37" spans="1:17" s="254" customFormat="1" ht="42.75" customHeight="1" x14ac:dyDescent="0.25">
      <c r="A37" s="259"/>
      <c r="B37" s="631"/>
      <c r="C37" s="632"/>
      <c r="D37" s="633"/>
      <c r="E37" s="632"/>
      <c r="F37" s="265"/>
      <c r="G37" s="266"/>
      <c r="H37" s="266"/>
      <c r="I37" s="266"/>
      <c r="J37" s="266"/>
      <c r="K37" s="266"/>
      <c r="L37" s="267"/>
      <c r="O37" s="255"/>
      <c r="P37" s="255"/>
      <c r="Q37" s="14"/>
    </row>
    <row r="38" spans="1:17" ht="42.75" customHeight="1" x14ac:dyDescent="0.25">
      <c r="B38" s="631"/>
      <c r="C38" s="632"/>
      <c r="D38" s="633"/>
      <c r="E38" s="632"/>
      <c r="F38" s="265"/>
      <c r="G38" s="266"/>
      <c r="H38" s="266"/>
      <c r="I38" s="266"/>
      <c r="J38" s="266"/>
      <c r="K38" s="266"/>
      <c r="L38" s="267"/>
    </row>
    <row r="39" spans="1:17" ht="42.75" customHeight="1" x14ac:dyDescent="0.25">
      <c r="B39" s="631"/>
      <c r="C39" s="632"/>
      <c r="D39" s="633"/>
      <c r="E39" s="632"/>
      <c r="F39" s="265"/>
      <c r="G39" s="266"/>
      <c r="H39" s="266"/>
      <c r="I39" s="266"/>
      <c r="J39" s="266"/>
      <c r="K39" s="266"/>
      <c r="L39" s="267"/>
    </row>
    <row r="40" spans="1:17" ht="42.75" customHeight="1" x14ac:dyDescent="0.25">
      <c r="B40" s="631"/>
      <c r="C40" s="632"/>
      <c r="D40" s="633"/>
      <c r="E40" s="632"/>
      <c r="F40" s="265"/>
      <c r="G40" s="266"/>
      <c r="H40" s="266"/>
      <c r="I40" s="266"/>
      <c r="J40" s="266"/>
      <c r="K40" s="266"/>
      <c r="L40" s="267"/>
    </row>
    <row r="41" spans="1:17" ht="42.75" customHeight="1" x14ac:dyDescent="0.25">
      <c r="B41" s="631"/>
      <c r="C41" s="632"/>
      <c r="D41" s="633"/>
      <c r="E41" s="632"/>
      <c r="F41" s="265"/>
      <c r="G41" s="266"/>
      <c r="H41" s="266"/>
      <c r="I41" s="266"/>
      <c r="J41" s="266"/>
      <c r="K41" s="266"/>
      <c r="L41" s="267"/>
    </row>
  </sheetData>
  <sheetProtection algorithmName="SHA-512" hashValue="QxECgxcYDNzDgfLAVfO0WvTHCBdbhUrqmMh9WatmoV3+o1xl/GPudbaErlHJLEyNyKX5ZtrXKmG5oVdBV9G/vw==" saltValue="VykIr64mfgB5ETt5bWnK2Q==" spinCount="100000" sheet="1" objects="1" scenarios="1" selectLockedCells="1"/>
  <mergeCells count="63">
    <mergeCell ref="B41:C41"/>
    <mergeCell ref="D41:E41"/>
    <mergeCell ref="B38:C38"/>
    <mergeCell ref="D38:E38"/>
    <mergeCell ref="B39:C39"/>
    <mergeCell ref="D39:E39"/>
    <mergeCell ref="B40:C40"/>
    <mergeCell ref="D40:E40"/>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B12:L12"/>
    <mergeCell ref="B14:C16"/>
    <mergeCell ref="D14:E16"/>
    <mergeCell ref="F14:F16"/>
    <mergeCell ref="G14:H15"/>
    <mergeCell ref="I14:J15"/>
    <mergeCell ref="K14:L15"/>
    <mergeCell ref="B11:L11"/>
    <mergeCell ref="B4:L4"/>
    <mergeCell ref="B5:L5"/>
    <mergeCell ref="B6:L6"/>
    <mergeCell ref="B8:L8"/>
    <mergeCell ref="B10:L10"/>
  </mergeCells>
  <printOptions horizontalCentered="1"/>
  <pageMargins left="0.7" right="0.7" top="0.75" bottom="0.75" header="0.3" footer="0.3"/>
  <pageSetup scale="49"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744</v>
      </c>
      <c r="P1" s="2" t="s">
        <v>744</v>
      </c>
    </row>
    <row r="2" spans="1:16" x14ac:dyDescent="0.25">
      <c r="B2" s="20" t="s">
        <v>0</v>
      </c>
      <c r="C2" s="20"/>
      <c r="O2" s="3" t="s">
        <v>166</v>
      </c>
      <c r="P2" s="3" t="s">
        <v>167</v>
      </c>
    </row>
    <row r="3" spans="1:16" x14ac:dyDescent="0.25">
      <c r="B3" s="21"/>
      <c r="C3" s="21"/>
      <c r="O3" s="8"/>
      <c r="P3" s="8"/>
    </row>
    <row r="4" spans="1:16" s="8" customFormat="1" x14ac:dyDescent="0.25">
      <c r="A4" s="13"/>
      <c r="B4" s="462" t="str">
        <f>Info!B4</f>
        <v>QUESTIONNAIRE À L’INTENTION DES PRODUCTEURS</v>
      </c>
      <c r="C4" s="463"/>
      <c r="D4" s="463"/>
      <c r="E4" s="463"/>
      <c r="F4" s="463"/>
      <c r="G4" s="463"/>
      <c r="H4" s="463"/>
      <c r="I4" s="463"/>
      <c r="J4" s="463"/>
      <c r="K4" s="463"/>
      <c r="L4" s="464"/>
      <c r="M4" s="15"/>
      <c r="N4" s="15"/>
      <c r="O4" s="14"/>
      <c r="P4" s="14"/>
    </row>
    <row r="5" spans="1:16" s="8" customFormat="1" x14ac:dyDescent="0.25">
      <c r="A5" s="13"/>
      <c r="B5" s="465" t="str">
        <f>Info!B5</f>
        <v>NQ-2026-005</v>
      </c>
      <c r="C5" s="466"/>
      <c r="D5" s="466"/>
      <c r="E5" s="466"/>
      <c r="F5" s="466"/>
      <c r="G5" s="466"/>
      <c r="H5" s="466"/>
      <c r="I5" s="466"/>
      <c r="J5" s="466"/>
      <c r="K5" s="466"/>
      <c r="L5" s="467"/>
      <c r="M5" s="15"/>
      <c r="N5" s="15"/>
      <c r="O5" s="14"/>
      <c r="P5" s="14"/>
    </row>
    <row r="6" spans="1:16" s="9" customFormat="1" x14ac:dyDescent="0.25">
      <c r="A6" s="13"/>
      <c r="B6" s="470" t="str">
        <f>Info!B6</f>
        <v>CERTAINS RAYONNAGES EN ACIER</v>
      </c>
      <c r="C6" s="471"/>
      <c r="D6" s="471"/>
      <c r="E6" s="471"/>
      <c r="F6" s="471"/>
      <c r="G6" s="471"/>
      <c r="H6" s="471"/>
      <c r="I6" s="471"/>
      <c r="J6" s="471"/>
      <c r="K6" s="471"/>
      <c r="L6" s="472"/>
      <c r="M6" s="14"/>
      <c r="N6" s="14"/>
      <c r="O6" s="10"/>
      <c r="P6" s="10"/>
    </row>
    <row r="7" spans="1:16" s="9" customFormat="1" x14ac:dyDescent="0.25">
      <c r="A7" s="13"/>
      <c r="B7" s="22"/>
      <c r="C7" s="22"/>
      <c r="D7" s="23"/>
      <c r="E7" s="23"/>
      <c r="F7" s="23"/>
      <c r="G7" s="23"/>
      <c r="H7" s="23"/>
      <c r="I7" s="23"/>
      <c r="J7" s="23"/>
      <c r="K7" s="23"/>
      <c r="L7" s="23"/>
      <c r="O7" s="10"/>
      <c r="P7" s="10"/>
    </row>
    <row r="8" spans="1:16" x14ac:dyDescent="0.25">
      <c r="B8" s="453" t="str">
        <f>UPPER(IF(Intro!$G$21="English",O8,P8))</f>
        <v>COMMENTAIRES PUBLICS</v>
      </c>
      <c r="C8" s="454"/>
      <c r="D8" s="454"/>
      <c r="E8" s="454"/>
      <c r="F8" s="454"/>
      <c r="G8" s="454"/>
      <c r="H8" s="454"/>
      <c r="I8" s="454"/>
      <c r="J8" s="454"/>
      <c r="K8" s="454"/>
      <c r="L8" s="455"/>
      <c r="M8" s="2"/>
      <c r="O8" s="2" t="s">
        <v>150</v>
      </c>
      <c r="P8" s="2" t="s">
        <v>151</v>
      </c>
    </row>
    <row r="9" spans="1:16" x14ac:dyDescent="0.25">
      <c r="B9" s="24"/>
      <c r="C9" s="25"/>
      <c r="D9" s="26"/>
      <c r="E9" s="26"/>
      <c r="F9" s="26"/>
      <c r="G9" s="26"/>
      <c r="H9" s="26"/>
      <c r="I9" s="26"/>
      <c r="J9" s="26"/>
      <c r="K9" s="26"/>
      <c r="L9" s="27"/>
      <c r="M9" s="2"/>
    </row>
    <row r="10" spans="1:16" x14ac:dyDescent="0.25">
      <c r="B10" s="456" t="str">
        <f>IF(Intro!$G$21="English",O10,P10)</f>
        <v>Si votre entreprise désire ajouter des commentaires concernant vos réponses, vous les inscrivez ici. Indiquez à quelle question se rapportent vos commentaires.</v>
      </c>
      <c r="C10" s="457"/>
      <c r="D10" s="457"/>
      <c r="E10" s="457"/>
      <c r="F10" s="457"/>
      <c r="G10" s="457"/>
      <c r="H10" s="457"/>
      <c r="I10" s="457"/>
      <c r="J10" s="457"/>
      <c r="K10" s="457"/>
      <c r="L10" s="458"/>
      <c r="M10" s="2"/>
      <c r="O10" s="11" t="s">
        <v>570</v>
      </c>
      <c r="P10" s="2" t="s">
        <v>411</v>
      </c>
    </row>
    <row r="11" spans="1:16" x14ac:dyDescent="0.25">
      <c r="B11" s="159"/>
      <c r="C11" s="25"/>
      <c r="D11" s="26"/>
      <c r="E11" s="26"/>
      <c r="F11" s="26"/>
      <c r="G11" s="26"/>
      <c r="H11" s="26"/>
      <c r="I11" s="26"/>
      <c r="J11" s="26"/>
      <c r="K11" s="26"/>
      <c r="L11" s="27"/>
      <c r="M11" s="2"/>
      <c r="O11" s="232" t="s">
        <v>715</v>
      </c>
      <c r="P11" s="232" t="s">
        <v>716</v>
      </c>
    </row>
    <row r="12" spans="1:16" ht="28.5" x14ac:dyDescent="0.25">
      <c r="B12" s="159"/>
      <c r="C12" s="299" t="str">
        <f>IF(Intro!$G$21="English",O11,P11)</f>
        <v>Onglet et question</v>
      </c>
      <c r="D12" s="644" t="str">
        <f>IF(Intro!$G$21="English",O12,P12)</f>
        <v>Commentaires</v>
      </c>
      <c r="E12" s="645"/>
      <c r="F12" s="645"/>
      <c r="G12" s="645"/>
      <c r="H12" s="645"/>
      <c r="I12" s="645"/>
      <c r="J12" s="645"/>
      <c r="K12" s="645"/>
      <c r="L12" s="646"/>
      <c r="M12" s="2"/>
      <c r="O12" s="11" t="s">
        <v>275</v>
      </c>
      <c r="P12" s="2" t="s">
        <v>276</v>
      </c>
    </row>
    <row r="13" spans="1:16" ht="14.25" customHeight="1" x14ac:dyDescent="0.25">
      <c r="B13" s="647" t="str">
        <f>IF(Intro!$G$21="English",O13,P13)</f>
        <v>Commentaire 1</v>
      </c>
      <c r="C13" s="650"/>
      <c r="D13" s="634"/>
      <c r="E13" s="635"/>
      <c r="F13" s="635"/>
      <c r="G13" s="635"/>
      <c r="H13" s="635"/>
      <c r="I13" s="635"/>
      <c r="J13" s="635"/>
      <c r="K13" s="635"/>
      <c r="L13" s="636"/>
      <c r="M13" s="2"/>
      <c r="O13" s="11" t="s">
        <v>277</v>
      </c>
      <c r="P13" s="2" t="s">
        <v>278</v>
      </c>
    </row>
    <row r="14" spans="1:16" x14ac:dyDescent="0.25">
      <c r="B14" s="648"/>
      <c r="C14" s="651"/>
      <c r="D14" s="637"/>
      <c r="E14" s="497"/>
      <c r="F14" s="497"/>
      <c r="G14" s="497"/>
      <c r="H14" s="497"/>
      <c r="I14" s="497"/>
      <c r="J14" s="497"/>
      <c r="K14" s="497"/>
      <c r="L14" s="498"/>
      <c r="M14" s="2"/>
    </row>
    <row r="15" spans="1:16" x14ac:dyDescent="0.25">
      <c r="B15" s="648"/>
      <c r="C15" s="651"/>
      <c r="D15" s="637"/>
      <c r="E15" s="497"/>
      <c r="F15" s="497"/>
      <c r="G15" s="497"/>
      <c r="H15" s="497"/>
      <c r="I15" s="497"/>
      <c r="J15" s="497"/>
      <c r="K15" s="497"/>
      <c r="L15" s="498"/>
      <c r="M15" s="2"/>
    </row>
    <row r="16" spans="1:16" x14ac:dyDescent="0.25">
      <c r="B16" s="648"/>
      <c r="C16" s="651"/>
      <c r="D16" s="637"/>
      <c r="E16" s="497"/>
      <c r="F16" s="497"/>
      <c r="G16" s="497"/>
      <c r="H16" s="497"/>
      <c r="I16" s="497"/>
      <c r="J16" s="497"/>
      <c r="K16" s="497"/>
      <c r="L16" s="498"/>
      <c r="M16" s="2"/>
    </row>
    <row r="17" spans="2:16" x14ac:dyDescent="0.25">
      <c r="B17" s="648"/>
      <c r="C17" s="651"/>
      <c r="D17" s="637"/>
      <c r="E17" s="497"/>
      <c r="F17" s="497"/>
      <c r="G17" s="497"/>
      <c r="H17" s="497"/>
      <c r="I17" s="497"/>
      <c r="J17" s="497"/>
      <c r="K17" s="497"/>
      <c r="L17" s="498"/>
      <c r="M17" s="2"/>
    </row>
    <row r="18" spans="2:16" x14ac:dyDescent="0.25">
      <c r="B18" s="648"/>
      <c r="C18" s="651"/>
      <c r="D18" s="637"/>
      <c r="E18" s="497"/>
      <c r="F18" s="497"/>
      <c r="G18" s="497"/>
      <c r="H18" s="497"/>
      <c r="I18" s="497"/>
      <c r="J18" s="497"/>
      <c r="K18" s="497"/>
      <c r="L18" s="498"/>
      <c r="M18" s="2"/>
      <c r="O18" s="156"/>
      <c r="P18" s="156"/>
    </row>
    <row r="19" spans="2:16" x14ac:dyDescent="0.25">
      <c r="B19" s="648"/>
      <c r="C19" s="651"/>
      <c r="D19" s="637"/>
      <c r="E19" s="497"/>
      <c r="F19" s="497"/>
      <c r="G19" s="497"/>
      <c r="H19" s="497"/>
      <c r="I19" s="497"/>
      <c r="J19" s="497"/>
      <c r="K19" s="497"/>
      <c r="L19" s="498"/>
      <c r="M19" s="2"/>
      <c r="O19" s="11"/>
    </row>
    <row r="20" spans="2:16" x14ac:dyDescent="0.25">
      <c r="B20" s="648"/>
      <c r="C20" s="651"/>
      <c r="D20" s="637"/>
      <c r="E20" s="497"/>
      <c r="F20" s="497"/>
      <c r="G20" s="497"/>
      <c r="H20" s="497"/>
      <c r="I20" s="497"/>
      <c r="J20" s="497"/>
      <c r="K20" s="497"/>
      <c r="L20" s="498"/>
      <c r="M20" s="2"/>
      <c r="O20" s="11"/>
    </row>
    <row r="21" spans="2:16" x14ac:dyDescent="0.25">
      <c r="B21" s="649"/>
      <c r="C21" s="652"/>
      <c r="D21" s="638"/>
      <c r="E21" s="639"/>
      <c r="F21" s="639"/>
      <c r="G21" s="639"/>
      <c r="H21" s="639"/>
      <c r="I21" s="639"/>
      <c r="J21" s="639"/>
      <c r="K21" s="639"/>
      <c r="L21" s="640"/>
      <c r="M21" s="2"/>
      <c r="O21" s="11"/>
    </row>
    <row r="22" spans="2:16" ht="14.25" customHeight="1" x14ac:dyDescent="0.25">
      <c r="B22" s="300" t="str">
        <f>IF(Intro!$G$21="English",O22,P22)</f>
        <v>Commentaire 2</v>
      </c>
      <c r="C22" s="650"/>
      <c r="D22" s="634"/>
      <c r="E22" s="635"/>
      <c r="F22" s="635"/>
      <c r="G22" s="635"/>
      <c r="H22" s="635"/>
      <c r="I22" s="635"/>
      <c r="J22" s="635"/>
      <c r="K22" s="635"/>
      <c r="L22" s="636"/>
      <c r="M22" s="2"/>
      <c r="O22" s="11" t="s">
        <v>279</v>
      </c>
      <c r="P22" s="2" t="s">
        <v>280</v>
      </c>
    </row>
    <row r="23" spans="2:16" x14ac:dyDescent="0.25">
      <c r="B23" s="159"/>
      <c r="C23" s="651"/>
      <c r="D23" s="637"/>
      <c r="E23" s="497"/>
      <c r="F23" s="497"/>
      <c r="G23" s="497"/>
      <c r="H23" s="497"/>
      <c r="I23" s="497"/>
      <c r="J23" s="497"/>
      <c r="K23" s="497"/>
      <c r="L23" s="498"/>
      <c r="M23" s="2"/>
    </row>
    <row r="24" spans="2:16" x14ac:dyDescent="0.25">
      <c r="B24" s="159"/>
      <c r="C24" s="651"/>
      <c r="D24" s="637"/>
      <c r="E24" s="497"/>
      <c r="F24" s="497"/>
      <c r="G24" s="497"/>
      <c r="H24" s="497"/>
      <c r="I24" s="497"/>
      <c r="J24" s="497"/>
      <c r="K24" s="497"/>
      <c r="L24" s="498"/>
      <c r="M24" s="2"/>
    </row>
    <row r="25" spans="2:16" x14ac:dyDescent="0.25">
      <c r="B25" s="159"/>
      <c r="C25" s="651"/>
      <c r="D25" s="637"/>
      <c r="E25" s="497"/>
      <c r="F25" s="497"/>
      <c r="G25" s="497"/>
      <c r="H25" s="497"/>
      <c r="I25" s="497"/>
      <c r="J25" s="497"/>
      <c r="K25" s="497"/>
      <c r="L25" s="498"/>
      <c r="M25" s="2"/>
    </row>
    <row r="26" spans="2:16" x14ac:dyDescent="0.25">
      <c r="B26" s="159"/>
      <c r="C26" s="651"/>
      <c r="D26" s="637"/>
      <c r="E26" s="497"/>
      <c r="F26" s="497"/>
      <c r="G26" s="497"/>
      <c r="H26" s="497"/>
      <c r="I26" s="497"/>
      <c r="J26" s="497"/>
      <c r="K26" s="497"/>
      <c r="L26" s="498"/>
      <c r="M26" s="2"/>
      <c r="O26" s="11"/>
    </row>
    <row r="27" spans="2:16" x14ac:dyDescent="0.25">
      <c r="B27" s="159"/>
      <c r="C27" s="651"/>
      <c r="D27" s="637"/>
      <c r="E27" s="497"/>
      <c r="F27" s="497"/>
      <c r="G27" s="497"/>
      <c r="H27" s="497"/>
      <c r="I27" s="497"/>
      <c r="J27" s="497"/>
      <c r="K27" s="497"/>
      <c r="L27" s="498"/>
      <c r="M27" s="2"/>
      <c r="O27" s="11"/>
    </row>
    <row r="28" spans="2:16" x14ac:dyDescent="0.25">
      <c r="B28" s="159"/>
      <c r="C28" s="651"/>
      <c r="D28" s="637"/>
      <c r="E28" s="497"/>
      <c r="F28" s="497"/>
      <c r="G28" s="497"/>
      <c r="H28" s="497"/>
      <c r="I28" s="497"/>
      <c r="J28" s="497"/>
      <c r="K28" s="497"/>
      <c r="L28" s="498"/>
      <c r="M28" s="2"/>
      <c r="O28" s="11"/>
    </row>
    <row r="29" spans="2:16" x14ac:dyDescent="0.25">
      <c r="B29" s="159"/>
      <c r="C29" s="651"/>
      <c r="D29" s="637"/>
      <c r="E29" s="497"/>
      <c r="F29" s="497"/>
      <c r="G29" s="497"/>
      <c r="H29" s="497"/>
      <c r="I29" s="497"/>
      <c r="J29" s="497"/>
      <c r="K29" s="497"/>
      <c r="L29" s="498"/>
      <c r="M29" s="2"/>
      <c r="O29" s="11"/>
    </row>
    <row r="30" spans="2:16" x14ac:dyDescent="0.25">
      <c r="B30" s="210"/>
      <c r="C30" s="652"/>
      <c r="D30" s="638"/>
      <c r="E30" s="639"/>
      <c r="F30" s="639"/>
      <c r="G30" s="639"/>
      <c r="H30" s="639"/>
      <c r="I30" s="639"/>
      <c r="J30" s="639"/>
      <c r="K30" s="639"/>
      <c r="L30" s="640"/>
      <c r="M30" s="2"/>
      <c r="O30" s="11"/>
    </row>
    <row r="31" spans="2:16" ht="14.25" customHeight="1" x14ac:dyDescent="0.25">
      <c r="B31" s="300" t="str">
        <f>IF(Intro!$G$21="English",O31,P31)</f>
        <v>Commentaire 3</v>
      </c>
      <c r="C31" s="650"/>
      <c r="D31" s="634"/>
      <c r="E31" s="635"/>
      <c r="F31" s="635"/>
      <c r="G31" s="635"/>
      <c r="H31" s="635"/>
      <c r="I31" s="635"/>
      <c r="J31" s="635"/>
      <c r="K31" s="635"/>
      <c r="L31" s="636"/>
      <c r="M31" s="2"/>
      <c r="O31" s="11" t="s">
        <v>281</v>
      </c>
      <c r="P31" s="2" t="s">
        <v>282</v>
      </c>
    </row>
    <row r="32" spans="2:16" x14ac:dyDescent="0.25">
      <c r="B32" s="159"/>
      <c r="C32" s="651"/>
      <c r="D32" s="637"/>
      <c r="E32" s="497"/>
      <c r="F32" s="497"/>
      <c r="G32" s="497"/>
      <c r="H32" s="497"/>
      <c r="I32" s="497"/>
      <c r="J32" s="497"/>
      <c r="K32" s="497"/>
      <c r="L32" s="498"/>
      <c r="M32" s="2"/>
    </row>
    <row r="33" spans="2:16" x14ac:dyDescent="0.25">
      <c r="B33" s="159"/>
      <c r="C33" s="651"/>
      <c r="D33" s="637"/>
      <c r="E33" s="497"/>
      <c r="F33" s="497"/>
      <c r="G33" s="497"/>
      <c r="H33" s="497"/>
      <c r="I33" s="497"/>
      <c r="J33" s="497"/>
      <c r="K33" s="497"/>
      <c r="L33" s="498"/>
      <c r="M33" s="2"/>
    </row>
    <row r="34" spans="2:16" x14ac:dyDescent="0.25">
      <c r="B34" s="159"/>
      <c r="C34" s="651"/>
      <c r="D34" s="637"/>
      <c r="E34" s="497"/>
      <c r="F34" s="497"/>
      <c r="G34" s="497"/>
      <c r="H34" s="497"/>
      <c r="I34" s="497"/>
      <c r="J34" s="497"/>
      <c r="K34" s="497"/>
      <c r="L34" s="498"/>
      <c r="M34" s="2"/>
      <c r="O34" s="11"/>
    </row>
    <row r="35" spans="2:16" x14ac:dyDescent="0.25">
      <c r="B35" s="159"/>
      <c r="C35" s="651"/>
      <c r="D35" s="637"/>
      <c r="E35" s="497"/>
      <c r="F35" s="497"/>
      <c r="G35" s="497"/>
      <c r="H35" s="497"/>
      <c r="I35" s="497"/>
      <c r="J35" s="497"/>
      <c r="K35" s="497"/>
      <c r="L35" s="498"/>
      <c r="M35" s="2"/>
      <c r="O35" s="11"/>
    </row>
    <row r="36" spans="2:16" x14ac:dyDescent="0.25">
      <c r="B36" s="159"/>
      <c r="C36" s="651"/>
      <c r="D36" s="637"/>
      <c r="E36" s="497"/>
      <c r="F36" s="497"/>
      <c r="G36" s="497"/>
      <c r="H36" s="497"/>
      <c r="I36" s="497"/>
      <c r="J36" s="497"/>
      <c r="K36" s="497"/>
      <c r="L36" s="498"/>
      <c r="M36" s="2"/>
      <c r="O36" s="11"/>
    </row>
    <row r="37" spans="2:16" x14ac:dyDescent="0.25">
      <c r="B37" s="159"/>
      <c r="C37" s="651"/>
      <c r="D37" s="637"/>
      <c r="E37" s="497"/>
      <c r="F37" s="497"/>
      <c r="G37" s="497"/>
      <c r="H37" s="497"/>
      <c r="I37" s="497"/>
      <c r="J37" s="497"/>
      <c r="K37" s="497"/>
      <c r="L37" s="498"/>
      <c r="M37" s="2"/>
      <c r="O37" s="11"/>
    </row>
    <row r="38" spans="2:16" x14ac:dyDescent="0.25">
      <c r="B38" s="159"/>
      <c r="C38" s="651"/>
      <c r="D38" s="637"/>
      <c r="E38" s="497"/>
      <c r="F38" s="497"/>
      <c r="G38" s="497"/>
      <c r="H38" s="497"/>
      <c r="I38" s="497"/>
      <c r="J38" s="497"/>
      <c r="K38" s="497"/>
      <c r="L38" s="498"/>
      <c r="M38" s="2"/>
      <c r="O38" s="11"/>
    </row>
    <row r="39" spans="2:16" x14ac:dyDescent="0.25">
      <c r="B39" s="210"/>
      <c r="C39" s="652"/>
      <c r="D39" s="638"/>
      <c r="E39" s="639"/>
      <c r="F39" s="639"/>
      <c r="G39" s="639"/>
      <c r="H39" s="639"/>
      <c r="I39" s="639"/>
      <c r="J39" s="639"/>
      <c r="K39" s="639"/>
      <c r="L39" s="640"/>
      <c r="M39" s="2"/>
      <c r="O39" s="11"/>
    </row>
    <row r="40" spans="2:16" ht="14.25" customHeight="1" x14ac:dyDescent="0.25">
      <c r="B40" s="300" t="str">
        <f>IF(Intro!$G$21="English",O40,P40)</f>
        <v>Commentaire 4</v>
      </c>
      <c r="C40" s="650"/>
      <c r="D40" s="634"/>
      <c r="E40" s="635"/>
      <c r="F40" s="635"/>
      <c r="G40" s="635"/>
      <c r="H40" s="635"/>
      <c r="I40" s="635"/>
      <c r="J40" s="635"/>
      <c r="K40" s="635"/>
      <c r="L40" s="636"/>
      <c r="M40" s="2"/>
      <c r="O40" s="11" t="s">
        <v>283</v>
      </c>
      <c r="P40" s="2" t="s">
        <v>284</v>
      </c>
    </row>
    <row r="41" spans="2:16" x14ac:dyDescent="0.25">
      <c r="B41" s="159"/>
      <c r="C41" s="651"/>
      <c r="D41" s="637"/>
      <c r="E41" s="497"/>
      <c r="F41" s="497"/>
      <c r="G41" s="497"/>
      <c r="H41" s="497"/>
      <c r="I41" s="497"/>
      <c r="J41" s="497"/>
      <c r="K41" s="497"/>
      <c r="L41" s="498"/>
      <c r="M41" s="2"/>
    </row>
    <row r="42" spans="2:16" x14ac:dyDescent="0.25">
      <c r="B42" s="159"/>
      <c r="C42" s="651"/>
      <c r="D42" s="637"/>
      <c r="E42" s="497"/>
      <c r="F42" s="497"/>
      <c r="G42" s="497"/>
      <c r="H42" s="497"/>
      <c r="I42" s="497"/>
      <c r="J42" s="497"/>
      <c r="K42" s="497"/>
      <c r="L42" s="498"/>
      <c r="M42" s="2"/>
      <c r="O42" s="11"/>
    </row>
    <row r="43" spans="2:16" x14ac:dyDescent="0.25">
      <c r="B43" s="159"/>
      <c r="C43" s="651"/>
      <c r="D43" s="637"/>
      <c r="E43" s="497"/>
      <c r="F43" s="497"/>
      <c r="G43" s="497"/>
      <c r="H43" s="497"/>
      <c r="I43" s="497"/>
      <c r="J43" s="497"/>
      <c r="K43" s="497"/>
      <c r="L43" s="498"/>
      <c r="M43" s="2"/>
      <c r="O43" s="11"/>
    </row>
    <row r="44" spans="2:16" x14ac:dyDescent="0.25">
      <c r="B44" s="159"/>
      <c r="C44" s="651"/>
      <c r="D44" s="637"/>
      <c r="E44" s="497"/>
      <c r="F44" s="497"/>
      <c r="G44" s="497"/>
      <c r="H44" s="497"/>
      <c r="I44" s="497"/>
      <c r="J44" s="497"/>
      <c r="K44" s="497"/>
      <c r="L44" s="498"/>
      <c r="M44" s="2"/>
      <c r="O44" s="11"/>
    </row>
    <row r="45" spans="2:16" x14ac:dyDescent="0.25">
      <c r="B45" s="159"/>
      <c r="C45" s="651"/>
      <c r="D45" s="637"/>
      <c r="E45" s="497"/>
      <c r="F45" s="497"/>
      <c r="G45" s="497"/>
      <c r="H45" s="497"/>
      <c r="I45" s="497"/>
      <c r="J45" s="497"/>
      <c r="K45" s="497"/>
      <c r="L45" s="498"/>
      <c r="M45" s="2"/>
      <c r="O45" s="11"/>
    </row>
    <row r="46" spans="2:16" x14ac:dyDescent="0.25">
      <c r="B46" s="159"/>
      <c r="C46" s="651"/>
      <c r="D46" s="637"/>
      <c r="E46" s="497"/>
      <c r="F46" s="497"/>
      <c r="G46" s="497"/>
      <c r="H46" s="497"/>
      <c r="I46" s="497"/>
      <c r="J46" s="497"/>
      <c r="K46" s="497"/>
      <c r="L46" s="498"/>
      <c r="M46" s="2"/>
      <c r="O46" s="11"/>
    </row>
    <row r="47" spans="2:16" x14ac:dyDescent="0.25">
      <c r="B47" s="159"/>
      <c r="C47" s="651"/>
      <c r="D47" s="637"/>
      <c r="E47" s="497"/>
      <c r="F47" s="497"/>
      <c r="G47" s="497"/>
      <c r="H47" s="497"/>
      <c r="I47" s="497"/>
      <c r="J47" s="497"/>
      <c r="K47" s="497"/>
      <c r="L47" s="498"/>
      <c r="M47" s="2"/>
      <c r="O47" s="11"/>
    </row>
    <row r="48" spans="2:16" x14ac:dyDescent="0.25">
      <c r="B48" s="210"/>
      <c r="C48" s="652"/>
      <c r="D48" s="638"/>
      <c r="E48" s="639"/>
      <c r="F48" s="639"/>
      <c r="G48" s="639"/>
      <c r="H48" s="639"/>
      <c r="I48" s="639"/>
      <c r="J48" s="639"/>
      <c r="K48" s="639"/>
      <c r="L48" s="640"/>
      <c r="M48" s="2"/>
      <c r="O48" s="11"/>
    </row>
    <row r="49" spans="1:16" ht="14.25" customHeight="1" x14ac:dyDescent="0.25">
      <c r="B49" s="300" t="str">
        <f>IF(Intro!$G$21="English",O49,P49)</f>
        <v>Commentaire 5</v>
      </c>
      <c r="C49" s="650"/>
      <c r="D49" s="634"/>
      <c r="E49" s="635"/>
      <c r="F49" s="635"/>
      <c r="G49" s="635"/>
      <c r="H49" s="635"/>
      <c r="I49" s="635"/>
      <c r="J49" s="635"/>
      <c r="K49" s="635"/>
      <c r="L49" s="636"/>
      <c r="M49" s="2"/>
      <c r="O49" s="11" t="s">
        <v>285</v>
      </c>
      <c r="P49" s="2" t="s">
        <v>286</v>
      </c>
    </row>
    <row r="50" spans="1:16" x14ac:dyDescent="0.25">
      <c r="B50" s="159"/>
      <c r="C50" s="651"/>
      <c r="D50" s="637"/>
      <c r="E50" s="497"/>
      <c r="F50" s="497"/>
      <c r="G50" s="497"/>
      <c r="H50" s="497"/>
      <c r="I50" s="497"/>
      <c r="J50" s="497"/>
      <c r="K50" s="497"/>
      <c r="L50" s="498"/>
      <c r="M50" s="2"/>
      <c r="O50" s="11"/>
    </row>
    <row r="51" spans="1:16" x14ac:dyDescent="0.25">
      <c r="B51" s="159"/>
      <c r="C51" s="651"/>
      <c r="D51" s="637"/>
      <c r="E51" s="497"/>
      <c r="F51" s="497"/>
      <c r="G51" s="497"/>
      <c r="H51" s="497"/>
      <c r="I51" s="497"/>
      <c r="J51" s="497"/>
      <c r="K51" s="497"/>
      <c r="L51" s="498"/>
      <c r="M51" s="2"/>
      <c r="O51" s="11"/>
    </row>
    <row r="52" spans="1:16" x14ac:dyDescent="0.25">
      <c r="B52" s="159"/>
      <c r="C52" s="651"/>
      <c r="D52" s="637"/>
      <c r="E52" s="497"/>
      <c r="F52" s="497"/>
      <c r="G52" s="497"/>
      <c r="H52" s="497"/>
      <c r="I52" s="497"/>
      <c r="J52" s="497"/>
      <c r="K52" s="497"/>
      <c r="L52" s="498"/>
      <c r="M52" s="2"/>
      <c r="O52" s="11"/>
    </row>
    <row r="53" spans="1:16" x14ac:dyDescent="0.25">
      <c r="B53" s="159"/>
      <c r="C53" s="651"/>
      <c r="D53" s="637"/>
      <c r="E53" s="497"/>
      <c r="F53" s="497"/>
      <c r="G53" s="497"/>
      <c r="H53" s="497"/>
      <c r="I53" s="497"/>
      <c r="J53" s="497"/>
      <c r="K53" s="497"/>
      <c r="L53" s="498"/>
      <c r="M53" s="2"/>
      <c r="O53" s="11"/>
    </row>
    <row r="54" spans="1:16" x14ac:dyDescent="0.25">
      <c r="B54" s="159"/>
      <c r="C54" s="651"/>
      <c r="D54" s="637"/>
      <c r="E54" s="497"/>
      <c r="F54" s="497"/>
      <c r="G54" s="497"/>
      <c r="H54" s="497"/>
      <c r="I54" s="497"/>
      <c r="J54" s="497"/>
      <c r="K54" s="497"/>
      <c r="L54" s="498"/>
      <c r="M54" s="2"/>
      <c r="O54" s="11"/>
    </row>
    <row r="55" spans="1:16" x14ac:dyDescent="0.25">
      <c r="B55" s="159"/>
      <c r="C55" s="651"/>
      <c r="D55" s="637"/>
      <c r="E55" s="497"/>
      <c r="F55" s="497"/>
      <c r="G55" s="497"/>
      <c r="H55" s="497"/>
      <c r="I55" s="497"/>
      <c r="J55" s="497"/>
      <c r="K55" s="497"/>
      <c r="L55" s="498"/>
      <c r="M55" s="2"/>
      <c r="O55" s="11"/>
    </row>
    <row r="56" spans="1:16" x14ac:dyDescent="0.25">
      <c r="B56" s="159"/>
      <c r="C56" s="651"/>
      <c r="D56" s="637"/>
      <c r="E56" s="497"/>
      <c r="F56" s="497"/>
      <c r="G56" s="497"/>
      <c r="H56" s="497"/>
      <c r="I56" s="497"/>
      <c r="J56" s="497"/>
      <c r="K56" s="497"/>
      <c r="L56" s="498"/>
      <c r="M56" s="2"/>
      <c r="O56" s="11"/>
    </row>
    <row r="57" spans="1:16" s="156" customFormat="1" x14ac:dyDescent="0.25">
      <c r="A57" s="180"/>
      <c r="B57" s="36"/>
      <c r="C57" s="653"/>
      <c r="D57" s="641"/>
      <c r="E57" s="642"/>
      <c r="F57" s="642"/>
      <c r="G57" s="642"/>
      <c r="H57" s="642"/>
      <c r="I57" s="642"/>
      <c r="J57" s="642"/>
      <c r="K57" s="642"/>
      <c r="L57" s="643"/>
      <c r="N57" s="182"/>
    </row>
  </sheetData>
  <sheetProtection algorithmName="SHA-512" hashValue="GR9SXEn2jIyVcIUVN1Lv1ZYwKrGyNoBxlG1xujIRFzXIK4K4q/5YNW+QtgdTKB79Clk9VgbiGV/t/qRuxx/jBg==" saltValue="c4mff1ejciP/N+vhMmKwSQ==" spinCount="100000" sheet="1" objects="1" scenarios="1" selectLockedCells="1"/>
  <mergeCells count="17">
    <mergeCell ref="D40:L48"/>
    <mergeCell ref="D49:L57"/>
    <mergeCell ref="D12:L12"/>
    <mergeCell ref="B13:B21"/>
    <mergeCell ref="D13:L21"/>
    <mergeCell ref="D22:L30"/>
    <mergeCell ref="D31:L39"/>
    <mergeCell ref="C13:C21"/>
    <mergeCell ref="C22:C30"/>
    <mergeCell ref="C31:C39"/>
    <mergeCell ref="C40:C48"/>
    <mergeCell ref="C49:C57"/>
    <mergeCell ref="B4:L4"/>
    <mergeCell ref="B5:L5"/>
    <mergeCell ref="B6:L6"/>
    <mergeCell ref="B10:L10"/>
    <mergeCell ref="B8:L8"/>
  </mergeCell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11"/>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744</v>
      </c>
      <c r="P1" s="2" t="s">
        <v>744</v>
      </c>
    </row>
    <row r="2" spans="1:16" x14ac:dyDescent="0.25">
      <c r="B2" s="20" t="str">
        <f>IF(Intro!$G$21="English",O3,P3)</f>
        <v>PROTÉGÉ</v>
      </c>
      <c r="C2" s="20"/>
      <c r="D2" s="20"/>
      <c r="O2" s="3" t="s">
        <v>166</v>
      </c>
      <c r="P2" s="3" t="s">
        <v>167</v>
      </c>
    </row>
    <row r="3" spans="1:16" x14ac:dyDescent="0.25">
      <c r="B3" s="21"/>
      <c r="C3" s="21"/>
      <c r="D3" s="21"/>
      <c r="O3" s="199" t="s">
        <v>657</v>
      </c>
      <c r="P3" s="199" t="s">
        <v>658</v>
      </c>
    </row>
    <row r="4" spans="1:16" s="8" customFormat="1" x14ac:dyDescent="0.25">
      <c r="A4" s="13"/>
      <c r="B4" s="462" t="str">
        <f>Info!B4</f>
        <v>QUESTIONNAIRE À L’INTENTION DES PRODUCTEURS</v>
      </c>
      <c r="C4" s="463"/>
      <c r="D4" s="463"/>
      <c r="E4" s="463"/>
      <c r="F4" s="463"/>
      <c r="G4" s="463"/>
      <c r="H4" s="463"/>
      <c r="I4" s="463"/>
      <c r="J4" s="463"/>
      <c r="K4" s="463"/>
      <c r="L4" s="464"/>
      <c r="M4" s="6"/>
      <c r="N4" s="6"/>
      <c r="O4" s="7"/>
      <c r="P4" s="7"/>
    </row>
    <row r="5" spans="1:16" s="8" customFormat="1" x14ac:dyDescent="0.25">
      <c r="A5" s="13"/>
      <c r="B5" s="465" t="str">
        <f>Info!B5</f>
        <v>NQ-2026-005</v>
      </c>
      <c r="C5" s="466"/>
      <c r="D5" s="466"/>
      <c r="E5" s="466"/>
      <c r="F5" s="466"/>
      <c r="G5" s="466"/>
      <c r="H5" s="466"/>
      <c r="I5" s="466"/>
      <c r="J5" s="466"/>
      <c r="K5" s="466"/>
      <c r="L5" s="467"/>
      <c r="M5" s="6"/>
      <c r="N5" s="6"/>
      <c r="O5" s="7"/>
      <c r="P5" s="7"/>
    </row>
    <row r="6" spans="1:16" s="9" customFormat="1" x14ac:dyDescent="0.25">
      <c r="A6" s="13"/>
      <c r="B6" s="465" t="str">
        <f>Info!B6</f>
        <v>CERTAINS RAYONNAGES EN ACIER</v>
      </c>
      <c r="C6" s="466"/>
      <c r="D6" s="466"/>
      <c r="E6" s="466"/>
      <c r="F6" s="466"/>
      <c r="G6" s="466"/>
      <c r="H6" s="466"/>
      <c r="I6" s="466"/>
      <c r="J6" s="466"/>
      <c r="K6" s="466"/>
      <c r="L6" s="467"/>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7" t="str">
        <f>Public!B8</f>
        <v>Les questions suivantes font référence aux marchandises comme définies dans la description du produit de l'onglet Intro.</v>
      </c>
      <c r="C8" s="608"/>
      <c r="D8" s="608"/>
      <c r="E8" s="608"/>
      <c r="F8" s="608"/>
      <c r="G8" s="608"/>
      <c r="H8" s="608"/>
      <c r="I8" s="608"/>
      <c r="J8" s="608"/>
      <c r="K8" s="608"/>
      <c r="L8" s="609"/>
      <c r="M8" s="14"/>
      <c r="N8" s="14"/>
      <c r="O8" s="10"/>
      <c r="P8" s="10"/>
    </row>
    <row r="9" spans="1:16" s="9" customFormat="1" x14ac:dyDescent="0.25">
      <c r="A9" s="13"/>
      <c r="B9" s="607" t="str">
        <f>Public!B9</f>
        <v>Des informations sur le produit et un glossaire de termes sont disponibles dans l'onglet Info.</v>
      </c>
      <c r="C9" s="608"/>
      <c r="D9" s="608"/>
      <c r="E9" s="608"/>
      <c r="F9" s="608"/>
      <c r="G9" s="608"/>
      <c r="H9" s="608"/>
      <c r="I9" s="608"/>
      <c r="J9" s="608"/>
      <c r="K9" s="608"/>
      <c r="L9" s="609"/>
      <c r="M9" s="14"/>
      <c r="N9" s="14"/>
      <c r="O9" s="10"/>
    </row>
    <row r="10" spans="1:16" s="9" customFormat="1" x14ac:dyDescent="0.25">
      <c r="A10" s="13"/>
      <c r="B10" s="610" t="str">
        <f>IF(Intro!$G$21="English",O10,P10)</f>
        <v xml:space="preserve">Utilisez l'onglet AddPro si vous avez besoin de plus d'espace.
</v>
      </c>
      <c r="C10" s="611"/>
      <c r="D10" s="611"/>
      <c r="E10" s="611"/>
      <c r="F10" s="611"/>
      <c r="G10" s="611"/>
      <c r="H10" s="611"/>
      <c r="I10" s="611"/>
      <c r="J10" s="611"/>
      <c r="K10" s="611"/>
      <c r="L10" s="612"/>
      <c r="M10" s="14"/>
      <c r="N10" s="14"/>
      <c r="O10" s="10" t="s">
        <v>178</v>
      </c>
      <c r="P10" s="10" t="str">
        <f>"Utilisez l'onglet AddPro si vous avez besoin de plus d'espace."&amp;CHAR(10)</f>
        <v xml:space="preserve">Utilisez l'onglet AddPro si vous avez besoin de plus d'espace.
</v>
      </c>
    </row>
    <row r="11" spans="1:16" s="9" customFormat="1" x14ac:dyDescent="0.25">
      <c r="A11" s="13"/>
      <c r="B11" s="22"/>
      <c r="C11" s="22"/>
      <c r="D11" s="22"/>
      <c r="E11" s="23"/>
      <c r="F11" s="23"/>
      <c r="G11" s="23"/>
      <c r="H11" s="23"/>
      <c r="I11" s="23"/>
      <c r="J11" s="23"/>
      <c r="K11" s="23"/>
      <c r="L11" s="23"/>
      <c r="O11" s="10"/>
      <c r="P11" s="10"/>
    </row>
    <row r="12" spans="1:16" x14ac:dyDescent="0.25">
      <c r="B12" s="453" t="str">
        <f>IF(Intro!$G$21="English",O12,P12)</f>
        <v>PRODUCTION ET CAPACITÉ</v>
      </c>
      <c r="C12" s="454"/>
      <c r="D12" s="454"/>
      <c r="E12" s="454"/>
      <c r="F12" s="454"/>
      <c r="G12" s="454"/>
      <c r="H12" s="454"/>
      <c r="I12" s="454"/>
      <c r="J12" s="454"/>
      <c r="K12" s="454"/>
      <c r="L12" s="455"/>
      <c r="M12" s="152"/>
      <c r="O12" s="199" t="s">
        <v>649</v>
      </c>
      <c r="P12" s="199" t="s">
        <v>650</v>
      </c>
    </row>
    <row r="13" spans="1:16" x14ac:dyDescent="0.25">
      <c r="B13" s="592" t="s">
        <v>20</v>
      </c>
      <c r="C13" s="593"/>
      <c r="D13" s="593"/>
      <c r="E13" s="593"/>
      <c r="F13" s="593"/>
      <c r="G13" s="593"/>
      <c r="H13" s="593"/>
      <c r="I13" s="593"/>
      <c r="J13" s="593"/>
      <c r="K13" s="593"/>
      <c r="L13" s="594"/>
      <c r="M13" s="2"/>
    </row>
    <row r="14" spans="1:16" x14ac:dyDescent="0.25">
      <c r="B14" s="24"/>
      <c r="C14" s="25"/>
      <c r="D14" s="25"/>
      <c r="E14" s="26"/>
      <c r="F14" s="26"/>
      <c r="G14" s="26"/>
      <c r="H14" s="26"/>
      <c r="I14" s="26"/>
      <c r="J14" s="26"/>
      <c r="K14" s="26"/>
      <c r="L14" s="27"/>
      <c r="M14" s="2"/>
    </row>
    <row r="15" spans="1:16" x14ac:dyDescent="0.25">
      <c r="B15" s="456" t="str">
        <f>IF(Intro!$G$21="English",O15,P15)</f>
        <v>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v>
      </c>
      <c r="C15" s="457"/>
      <c r="D15" s="457"/>
      <c r="E15" s="457"/>
      <c r="F15" s="457"/>
      <c r="G15" s="457"/>
      <c r="H15" s="457"/>
      <c r="I15" s="457"/>
      <c r="J15" s="457"/>
      <c r="K15" s="457"/>
      <c r="L15" s="458"/>
      <c r="M15" s="2"/>
      <c r="O15" s="11" t="s">
        <v>676</v>
      </c>
      <c r="P15" s="2" t="s">
        <v>710</v>
      </c>
    </row>
    <row r="16" spans="1:16" x14ac:dyDescent="0.25">
      <c r="B16" s="456"/>
      <c r="C16" s="457"/>
      <c r="D16" s="457"/>
      <c r="E16" s="457"/>
      <c r="F16" s="457"/>
      <c r="G16" s="457"/>
      <c r="H16" s="457"/>
      <c r="I16" s="457"/>
      <c r="J16" s="457"/>
      <c r="K16" s="457"/>
      <c r="L16" s="458"/>
      <c r="M16" s="2"/>
      <c r="O16" s="11"/>
    </row>
    <row r="17" spans="1:17" x14ac:dyDescent="0.25">
      <c r="B17" s="456"/>
      <c r="C17" s="457"/>
      <c r="D17" s="457"/>
      <c r="E17" s="457"/>
      <c r="F17" s="457"/>
      <c r="G17" s="457"/>
      <c r="H17" s="457"/>
      <c r="I17" s="457"/>
      <c r="J17" s="457"/>
      <c r="K17" s="457"/>
      <c r="L17" s="458"/>
      <c r="M17" s="2"/>
      <c r="O17" s="11"/>
    </row>
    <row r="18" spans="1:17" x14ac:dyDescent="0.25">
      <c r="B18" s="159"/>
      <c r="C18" s="160"/>
      <c r="D18" s="25"/>
      <c r="E18" s="26"/>
      <c r="F18" s="26"/>
      <c r="G18" s="26"/>
      <c r="H18" s="26"/>
      <c r="I18" s="26"/>
      <c r="J18" s="26"/>
      <c r="K18" s="26"/>
      <c r="L18" s="27"/>
      <c r="M18" s="2"/>
      <c r="O18" s="11"/>
    </row>
    <row r="19" spans="1:17" x14ac:dyDescent="0.25">
      <c r="B19" s="159"/>
      <c r="C19" s="160"/>
      <c r="D19" s="2"/>
      <c r="E19" s="2"/>
      <c r="F19" s="25"/>
      <c r="G19" s="663">
        <f>Variables!B6</f>
        <v>2023</v>
      </c>
      <c r="H19" s="663">
        <f>G19+1</f>
        <v>2024</v>
      </c>
      <c r="I19" s="663">
        <f>H19+1</f>
        <v>2025</v>
      </c>
      <c r="J19" s="663" t="str">
        <f>IF(Intro!$G$21="English",Variables!B9,Variables!C9)</f>
        <v>janv- mars 2025</v>
      </c>
      <c r="K19" s="663" t="str">
        <f>IF(Intro!$G$21="English",Variables!B10,Variables!C10)</f>
        <v>janv- mars 2026</v>
      </c>
      <c r="L19" s="179"/>
      <c r="M19" s="2"/>
      <c r="O19" s="11"/>
    </row>
    <row r="20" spans="1:17" x14ac:dyDescent="0.25">
      <c r="B20" s="159"/>
      <c r="C20" s="160"/>
      <c r="D20" s="2"/>
      <c r="E20" s="2"/>
      <c r="F20" s="25"/>
      <c r="G20" s="663"/>
      <c r="H20" s="663"/>
      <c r="I20" s="663"/>
      <c r="J20" s="663"/>
      <c r="K20" s="663"/>
      <c r="L20" s="179"/>
      <c r="M20" s="2"/>
      <c r="O20" s="11"/>
    </row>
    <row r="21" spans="1:17" s="152" customFormat="1" x14ac:dyDescent="0.25">
      <c r="A21" s="173"/>
      <c r="B21" s="660" t="str">
        <f>IF(Intro!$G$21="English",O21,P21)</f>
        <v>Production pour les ventes au Canada</v>
      </c>
      <c r="C21" s="661"/>
      <c r="D21" s="661"/>
      <c r="E21" s="662"/>
      <c r="F21" s="206" t="str">
        <f>IF(Intro!$G$21="English",Variables!$B$23,Variables!$C$23)</f>
        <v>tonnes</v>
      </c>
      <c r="G21" s="270"/>
      <c r="H21" s="270"/>
      <c r="I21" s="270"/>
      <c r="J21" s="270"/>
      <c r="K21" s="270"/>
      <c r="L21" s="179"/>
      <c r="O21" s="157" t="s">
        <v>180</v>
      </c>
      <c r="P21" s="157" t="s">
        <v>179</v>
      </c>
      <c r="Q21" s="157"/>
    </row>
    <row r="22" spans="1:17" s="152" customFormat="1" x14ac:dyDescent="0.25">
      <c r="A22" s="173"/>
      <c r="B22" s="660" t="str">
        <f>IF(Intro!$G$21="English",O22,P22)</f>
        <v>Production pour les ventes à l'exportation</v>
      </c>
      <c r="C22" s="661"/>
      <c r="D22" s="661"/>
      <c r="E22" s="662"/>
      <c r="F22" s="206" t="str">
        <f>IF(Intro!$G$21="English",Variables!$B$23,Variables!$C$23)</f>
        <v>tonnes</v>
      </c>
      <c r="G22" s="270"/>
      <c r="H22" s="270"/>
      <c r="I22" s="270"/>
      <c r="J22" s="270"/>
      <c r="K22" s="270"/>
      <c r="L22" s="179"/>
      <c r="O22" s="157" t="s">
        <v>181</v>
      </c>
      <c r="P22" s="157" t="s">
        <v>182</v>
      </c>
      <c r="Q22" s="157"/>
    </row>
    <row r="23" spans="1:17" s="157" customFormat="1" ht="35.1" customHeight="1" x14ac:dyDescent="0.25">
      <c r="A23" s="211"/>
      <c r="B23" s="660" t="str">
        <f>IF(Intro!$G$21="English",O23,P23)</f>
        <v>Production utilisée à l'interne ou destinée à la transformation ultérieure à l’interne</v>
      </c>
      <c r="C23" s="661"/>
      <c r="D23" s="661"/>
      <c r="E23" s="662"/>
      <c r="F23" s="206" t="str">
        <f>IF(Intro!$G$21="English",Variables!$B$23,Variables!$C$23)</f>
        <v>tonnes</v>
      </c>
      <c r="G23" s="270"/>
      <c r="H23" s="270"/>
      <c r="I23" s="270"/>
      <c r="J23" s="270"/>
      <c r="K23" s="270"/>
      <c r="L23" s="189"/>
      <c r="O23" s="157" t="s">
        <v>183</v>
      </c>
      <c r="P23" s="157" t="s">
        <v>415</v>
      </c>
    </row>
    <row r="24" spans="1:17" s="192" customFormat="1" x14ac:dyDescent="0.25">
      <c r="A24" s="191" t="s">
        <v>558</v>
      </c>
      <c r="B24" s="657" t="str">
        <f>IF(Intro!$G$21="English",O24,P24)</f>
        <v>Production totale des marchandises</v>
      </c>
      <c r="C24" s="658"/>
      <c r="D24" s="658"/>
      <c r="E24" s="659"/>
      <c r="F24" s="212" t="str">
        <f>IF(Intro!$G$21="English",Variables!$B$23,Variables!$C$23)</f>
        <v>tonnes</v>
      </c>
      <c r="G24" s="271">
        <f>SUM(G21:G23)</f>
        <v>0</v>
      </c>
      <c r="H24" s="271">
        <f>SUM(H21:H23)</f>
        <v>0</v>
      </c>
      <c r="I24" s="271">
        <f>SUM(I21:I23)</f>
        <v>0</v>
      </c>
      <c r="J24" s="271">
        <f>SUM(J21:J23)</f>
        <v>0</v>
      </c>
      <c r="K24" s="271">
        <f>SUM(K21:K23)</f>
        <v>0</v>
      </c>
      <c r="L24" s="179"/>
      <c r="O24" s="200" t="s">
        <v>128</v>
      </c>
      <c r="P24" s="200" t="s">
        <v>129</v>
      </c>
      <c r="Q24" s="200"/>
    </row>
    <row r="25" spans="1:17" s="152" customFormat="1" ht="14.25" customHeight="1" x14ac:dyDescent="0.25">
      <c r="A25" s="173"/>
      <c r="B25" s="660" t="str">
        <f>IF(Intro!$G$21="English",O25,P25)</f>
        <v>Production d'autres produits fabriqués avec le même équipement</v>
      </c>
      <c r="C25" s="661"/>
      <c r="D25" s="661"/>
      <c r="E25" s="662"/>
      <c r="F25" s="206" t="str">
        <f>IF(Intro!$G$21="English",Variables!$B$23,Variables!$C$23)</f>
        <v>tonnes</v>
      </c>
      <c r="G25" s="270"/>
      <c r="H25" s="270"/>
      <c r="I25" s="270"/>
      <c r="J25" s="270"/>
      <c r="K25" s="270"/>
      <c r="L25" s="179"/>
      <c r="O25" s="157" t="s">
        <v>184</v>
      </c>
      <c r="P25" s="157" t="s">
        <v>185</v>
      </c>
      <c r="Q25" s="157"/>
    </row>
    <row r="26" spans="1:17" s="192" customFormat="1" x14ac:dyDescent="0.25">
      <c r="A26" s="191"/>
      <c r="B26" s="657" t="str">
        <f>IF(Intro!$G$21="English",O26,P26)</f>
        <v>Total</v>
      </c>
      <c r="C26" s="658"/>
      <c r="D26" s="658"/>
      <c r="E26" s="659"/>
      <c r="F26" s="212" t="str">
        <f>IF(Intro!$G$21="English",Variables!$B$23,Variables!$C$23)</f>
        <v>tonnes</v>
      </c>
      <c r="G26" s="271">
        <f>SUM(G24,G25)</f>
        <v>0</v>
      </c>
      <c r="H26" s="271">
        <f>SUM(H24,H25)</f>
        <v>0</v>
      </c>
      <c r="I26" s="271">
        <f>SUM(I24,I25)</f>
        <v>0</v>
      </c>
      <c r="J26" s="271">
        <f>SUM(J24,J25)</f>
        <v>0</v>
      </c>
      <c r="K26" s="271">
        <f>SUM(K24,K25)</f>
        <v>0</v>
      </c>
      <c r="L26" s="179"/>
      <c r="O26" s="200" t="s">
        <v>45</v>
      </c>
      <c r="P26" s="200" t="s">
        <v>45</v>
      </c>
      <c r="Q26" s="200"/>
    </row>
    <row r="27" spans="1:17" s="152" customFormat="1" x14ac:dyDescent="0.25">
      <c r="A27" s="173"/>
      <c r="B27" s="660" t="str">
        <f>IF(Intro!$G$21="English",O27,P27)</f>
        <v>Capacité pratique des usines</v>
      </c>
      <c r="C27" s="661"/>
      <c r="D27" s="661"/>
      <c r="E27" s="662"/>
      <c r="F27" s="206" t="str">
        <f>IF(Intro!$G$21="English",Variables!$B$23,Variables!$C$23)</f>
        <v>tonnes</v>
      </c>
      <c r="G27" s="270"/>
      <c r="H27" s="270"/>
      <c r="I27" s="270"/>
      <c r="J27" s="270"/>
      <c r="K27" s="270"/>
      <c r="L27" s="179"/>
      <c r="O27" s="157" t="s">
        <v>374</v>
      </c>
      <c r="P27" s="157" t="s">
        <v>191</v>
      </c>
      <c r="Q27" s="157"/>
    </row>
    <row r="28" spans="1:17" s="192" customFormat="1" x14ac:dyDescent="0.25">
      <c r="A28" s="191"/>
      <c r="B28" s="657" t="str">
        <f>IF(Intro!$G$21="English",O28,P28)</f>
        <v>Taux d'utilisation des capacités des marchandises</v>
      </c>
      <c r="C28" s="658"/>
      <c r="D28" s="658"/>
      <c r="E28" s="659"/>
      <c r="F28" s="212" t="s">
        <v>188</v>
      </c>
      <c r="G28" s="271" t="str">
        <f>IF(G27=0,"-",G24/G27*100)</f>
        <v>-</v>
      </c>
      <c r="H28" s="271" t="str">
        <f>IF(H27=0,"-",H24/H27*100)</f>
        <v>-</v>
      </c>
      <c r="I28" s="271" t="str">
        <f>IF(I27=0,"-",I24/I27*100)</f>
        <v>-</v>
      </c>
      <c r="J28" s="271" t="str">
        <f>IF(J27=0,"-",J24/J27*100)</f>
        <v>-</v>
      </c>
      <c r="K28" s="271" t="str">
        <f>IF(K27=0,"-",K24/K27*100)</f>
        <v>-</v>
      </c>
      <c r="L28" s="179"/>
      <c r="O28" s="200" t="s">
        <v>186</v>
      </c>
      <c r="P28" s="200" t="s">
        <v>187</v>
      </c>
      <c r="Q28" s="200"/>
    </row>
    <row r="29" spans="1:17" s="192" customFormat="1" x14ac:dyDescent="0.25">
      <c r="A29" s="191"/>
      <c r="B29" s="657" t="str">
        <f>IF(Intro!$G$21="English",O29,P29)</f>
        <v>Taux d'utilisation total des capacités</v>
      </c>
      <c r="C29" s="658"/>
      <c r="D29" s="658"/>
      <c r="E29" s="659"/>
      <c r="F29" s="212" t="s">
        <v>188</v>
      </c>
      <c r="G29" s="271" t="str">
        <f>IF(G27=0,"-",G26/G27*100)</f>
        <v>-</v>
      </c>
      <c r="H29" s="271" t="str">
        <f t="shared" ref="H29:I29" si="0">IF(H27=0,"-",H26/H27*100)</f>
        <v>-</v>
      </c>
      <c r="I29" s="271" t="str">
        <f t="shared" si="0"/>
        <v>-</v>
      </c>
      <c r="J29" s="271" t="str">
        <f t="shared" ref="J29:K29" si="1">IF(J27=0,"-",J26/J27*100)</f>
        <v>-</v>
      </c>
      <c r="K29" s="271" t="str">
        <f t="shared" si="1"/>
        <v>-</v>
      </c>
      <c r="L29" s="179"/>
      <c r="O29" s="200" t="s">
        <v>189</v>
      </c>
      <c r="P29" s="200" t="s">
        <v>190</v>
      </c>
      <c r="Q29" s="200"/>
    </row>
    <row r="30" spans="1:17" s="152" customFormat="1" x14ac:dyDescent="0.25">
      <c r="A30" s="173"/>
      <c r="B30" s="187"/>
      <c r="C30" s="188"/>
      <c r="D30" s="188"/>
      <c r="E30" s="188"/>
      <c r="F30" s="188"/>
      <c r="G30" s="188"/>
      <c r="H30" s="188"/>
      <c r="I30" s="188"/>
      <c r="J30" s="188"/>
      <c r="K30" s="188"/>
      <c r="L30" s="186"/>
    </row>
    <row r="31" spans="1:17" s="3" customFormat="1" x14ac:dyDescent="0.25">
      <c r="A31" s="12"/>
      <c r="B31" s="585" t="s">
        <v>21</v>
      </c>
      <c r="C31" s="586"/>
      <c r="D31" s="586"/>
      <c r="E31" s="586"/>
      <c r="F31" s="586"/>
      <c r="G31" s="586"/>
      <c r="H31" s="586"/>
      <c r="I31" s="586"/>
      <c r="J31" s="586"/>
      <c r="K31" s="586"/>
      <c r="L31" s="587"/>
      <c r="M31" s="168"/>
    </row>
    <row r="32" spans="1:17" s="152" customFormat="1" x14ac:dyDescent="0.25">
      <c r="A32" s="173"/>
      <c r="B32" s="185"/>
      <c r="C32" s="174"/>
      <c r="D32" s="174"/>
      <c r="E32" s="174"/>
      <c r="F32" s="174"/>
      <c r="G32" s="174"/>
      <c r="H32" s="174"/>
      <c r="I32" s="174"/>
      <c r="J32" s="174"/>
      <c r="K32" s="174"/>
      <c r="L32" s="175"/>
    </row>
    <row r="33" spans="1:16" s="152" customFormat="1" x14ac:dyDescent="0.25">
      <c r="A33" s="173"/>
      <c r="B33" s="456" t="str">
        <f>IF(Intro!$G$21="English",O33,P33)</f>
        <v xml:space="preserve">Fournissez des détails sur la façon dont votre entreprise détermine la capacité pratique des usines. </v>
      </c>
      <c r="C33" s="457"/>
      <c r="D33" s="457"/>
      <c r="E33" s="457"/>
      <c r="F33" s="457"/>
      <c r="G33" s="457"/>
      <c r="H33" s="457"/>
      <c r="I33" s="457"/>
      <c r="J33" s="457"/>
      <c r="K33" s="457"/>
      <c r="L33" s="458"/>
      <c r="O33" s="152" t="s">
        <v>152</v>
      </c>
      <c r="P33" s="152" t="s">
        <v>153</v>
      </c>
    </row>
    <row r="34" spans="1:16" s="152" customFormat="1" x14ac:dyDescent="0.25">
      <c r="A34" s="173"/>
      <c r="B34" s="185"/>
      <c r="C34" s="174"/>
      <c r="D34" s="174"/>
      <c r="E34" s="174"/>
      <c r="F34" s="174"/>
      <c r="G34" s="174"/>
      <c r="H34" s="174"/>
      <c r="I34" s="174"/>
      <c r="J34" s="174"/>
      <c r="K34" s="174"/>
      <c r="L34" s="175"/>
    </row>
    <row r="35" spans="1:16" s="3" customFormat="1" x14ac:dyDescent="0.25">
      <c r="A35" s="12"/>
      <c r="B35" s="582"/>
      <c r="C35" s="583"/>
      <c r="D35" s="583"/>
      <c r="E35" s="583"/>
      <c r="F35" s="583"/>
      <c r="G35" s="583"/>
      <c r="H35" s="583"/>
      <c r="I35" s="583"/>
      <c r="J35" s="583"/>
      <c r="K35" s="583"/>
      <c r="L35" s="584"/>
      <c r="M35" s="152"/>
      <c r="O35" s="154"/>
      <c r="P35" s="154"/>
    </row>
    <row r="36" spans="1:16" s="3" customFormat="1" x14ac:dyDescent="0.25">
      <c r="A36" s="12"/>
      <c r="B36" s="582"/>
      <c r="C36" s="583"/>
      <c r="D36" s="583"/>
      <c r="E36" s="583"/>
      <c r="F36" s="583"/>
      <c r="G36" s="583"/>
      <c r="H36" s="583"/>
      <c r="I36" s="583"/>
      <c r="J36" s="583"/>
      <c r="K36" s="583"/>
      <c r="L36" s="584"/>
      <c r="M36" s="152"/>
      <c r="O36" s="154"/>
      <c r="P36" s="154"/>
    </row>
    <row r="37" spans="1:16" s="3" customFormat="1" x14ac:dyDescent="0.25">
      <c r="A37" s="12"/>
      <c r="B37" s="582"/>
      <c r="C37" s="583"/>
      <c r="D37" s="583"/>
      <c r="E37" s="583"/>
      <c r="F37" s="583"/>
      <c r="G37" s="583"/>
      <c r="H37" s="583"/>
      <c r="I37" s="583"/>
      <c r="J37" s="583"/>
      <c r="K37" s="583"/>
      <c r="L37" s="584"/>
      <c r="M37" s="152"/>
      <c r="O37" s="154"/>
      <c r="P37" s="154"/>
    </row>
    <row r="38" spans="1:16" s="3" customFormat="1" x14ac:dyDescent="0.25">
      <c r="A38" s="12"/>
      <c r="B38" s="582"/>
      <c r="C38" s="583"/>
      <c r="D38" s="583"/>
      <c r="E38" s="583"/>
      <c r="F38" s="583"/>
      <c r="G38" s="583"/>
      <c r="H38" s="583"/>
      <c r="I38" s="583"/>
      <c r="J38" s="583"/>
      <c r="K38" s="583"/>
      <c r="L38" s="584"/>
      <c r="M38" s="152"/>
      <c r="O38" s="154"/>
      <c r="P38" s="154"/>
    </row>
    <row r="39" spans="1:16" s="3" customFormat="1" x14ac:dyDescent="0.25">
      <c r="A39" s="12"/>
      <c r="B39" s="582"/>
      <c r="C39" s="583"/>
      <c r="D39" s="583"/>
      <c r="E39" s="583"/>
      <c r="F39" s="583"/>
      <c r="G39" s="583"/>
      <c r="H39" s="583"/>
      <c r="I39" s="583"/>
      <c r="J39" s="583"/>
      <c r="K39" s="583"/>
      <c r="L39" s="584"/>
      <c r="M39" s="152"/>
      <c r="O39" s="154"/>
      <c r="P39" s="154"/>
    </row>
    <row r="40" spans="1:16" s="3" customFormat="1" x14ac:dyDescent="0.25">
      <c r="A40" s="12"/>
      <c r="B40" s="582"/>
      <c r="C40" s="583"/>
      <c r="D40" s="583"/>
      <c r="E40" s="583"/>
      <c r="F40" s="583"/>
      <c r="G40" s="583"/>
      <c r="H40" s="583"/>
      <c r="I40" s="583"/>
      <c r="J40" s="583"/>
      <c r="K40" s="583"/>
      <c r="L40" s="584"/>
      <c r="M40" s="152"/>
      <c r="O40" s="154"/>
      <c r="P40" s="154"/>
    </row>
    <row r="41" spans="1:16" s="3" customFormat="1" x14ac:dyDescent="0.25">
      <c r="A41" s="12"/>
      <c r="B41" s="582"/>
      <c r="C41" s="583"/>
      <c r="D41" s="583"/>
      <c r="E41" s="583"/>
      <c r="F41" s="583"/>
      <c r="G41" s="583"/>
      <c r="H41" s="583"/>
      <c r="I41" s="583"/>
      <c r="J41" s="583"/>
      <c r="K41" s="583"/>
      <c r="L41" s="584"/>
      <c r="M41" s="152"/>
      <c r="O41" s="154"/>
      <c r="P41" s="154"/>
    </row>
    <row r="42" spans="1:16" s="3" customFormat="1" x14ac:dyDescent="0.25">
      <c r="A42" s="12"/>
      <c r="B42" s="582"/>
      <c r="C42" s="583"/>
      <c r="D42" s="583"/>
      <c r="E42" s="583"/>
      <c r="F42" s="583"/>
      <c r="G42" s="583"/>
      <c r="H42" s="583"/>
      <c r="I42" s="583"/>
      <c r="J42" s="583"/>
      <c r="K42" s="583"/>
      <c r="L42" s="584"/>
      <c r="M42" s="152"/>
      <c r="O42" s="154"/>
      <c r="P42" s="154"/>
    </row>
    <row r="43" spans="1:16" s="152" customFormat="1" x14ac:dyDescent="0.25">
      <c r="A43" s="173"/>
      <c r="B43" s="187"/>
      <c r="C43" s="188"/>
      <c r="D43" s="188"/>
      <c r="E43" s="188"/>
      <c r="F43" s="188"/>
      <c r="G43" s="188"/>
      <c r="H43" s="188"/>
      <c r="I43" s="188"/>
      <c r="J43" s="188"/>
      <c r="K43" s="188"/>
      <c r="L43" s="186"/>
    </row>
    <row r="44" spans="1:16" s="3" customFormat="1" x14ac:dyDescent="0.25">
      <c r="A44" s="12"/>
      <c r="B44" s="585" t="s">
        <v>26</v>
      </c>
      <c r="C44" s="586"/>
      <c r="D44" s="586"/>
      <c r="E44" s="586"/>
      <c r="F44" s="586"/>
      <c r="G44" s="586"/>
      <c r="H44" s="586"/>
      <c r="I44" s="586"/>
      <c r="J44" s="586"/>
      <c r="K44" s="586"/>
      <c r="L44" s="587"/>
      <c r="M44" s="168"/>
    </row>
    <row r="45" spans="1:16" s="152" customFormat="1" x14ac:dyDescent="0.25">
      <c r="A45" s="173"/>
      <c r="B45" s="185"/>
      <c r="C45" s="174"/>
      <c r="D45" s="174"/>
      <c r="E45" s="174"/>
      <c r="F45" s="174"/>
      <c r="G45" s="174"/>
      <c r="H45" s="174"/>
      <c r="I45" s="174"/>
      <c r="J45" s="174"/>
      <c r="K45" s="174"/>
      <c r="L45" s="175"/>
    </row>
    <row r="46" spans="1:16" s="152" customFormat="1" x14ac:dyDescent="0.25">
      <c r="A46" s="173"/>
      <c r="B46" s="456" t="str">
        <f>IF(Intro!$G$21="English",O46,P46)</f>
        <v>Si l'un ou l'autre des taux d'utilisation de la capacité, tel que calculé, est supérieur à 100 %, expliquez.</v>
      </c>
      <c r="C46" s="457"/>
      <c r="D46" s="457"/>
      <c r="E46" s="457"/>
      <c r="F46" s="457"/>
      <c r="G46" s="457"/>
      <c r="H46" s="457"/>
      <c r="I46" s="457"/>
      <c r="J46" s="457"/>
      <c r="K46" s="457"/>
      <c r="L46" s="458"/>
      <c r="O46" s="152" t="s">
        <v>337</v>
      </c>
      <c r="P46" s="152" t="s">
        <v>595</v>
      </c>
    </row>
    <row r="47" spans="1:16" s="152" customFormat="1" x14ac:dyDescent="0.25">
      <c r="A47" s="173"/>
      <c r="B47" s="185"/>
      <c r="C47" s="174"/>
      <c r="D47" s="174"/>
      <c r="E47" s="174"/>
      <c r="F47" s="174"/>
      <c r="G47" s="174"/>
      <c r="H47" s="174"/>
      <c r="I47" s="174"/>
      <c r="J47" s="174"/>
      <c r="K47" s="174"/>
      <c r="L47" s="175"/>
    </row>
    <row r="48" spans="1:16" s="3" customFormat="1" x14ac:dyDescent="0.25">
      <c r="A48" s="12"/>
      <c r="B48" s="582"/>
      <c r="C48" s="583"/>
      <c r="D48" s="583"/>
      <c r="E48" s="583"/>
      <c r="F48" s="583"/>
      <c r="G48" s="583"/>
      <c r="H48" s="583"/>
      <c r="I48" s="583"/>
      <c r="J48" s="583"/>
      <c r="K48" s="583"/>
      <c r="L48" s="584"/>
      <c r="M48" s="152"/>
      <c r="O48" s="154"/>
      <c r="P48" s="154"/>
    </row>
    <row r="49" spans="1:16" s="3" customFormat="1" x14ac:dyDescent="0.25">
      <c r="A49" s="12"/>
      <c r="B49" s="582"/>
      <c r="C49" s="583"/>
      <c r="D49" s="583"/>
      <c r="E49" s="583"/>
      <c r="F49" s="583"/>
      <c r="G49" s="583"/>
      <c r="H49" s="583"/>
      <c r="I49" s="583"/>
      <c r="J49" s="583"/>
      <c r="K49" s="583"/>
      <c r="L49" s="584"/>
      <c r="M49" s="152"/>
      <c r="O49" s="154"/>
      <c r="P49" s="154"/>
    </row>
    <row r="50" spans="1:16" s="3" customFormat="1" x14ac:dyDescent="0.25">
      <c r="A50" s="12"/>
      <c r="B50" s="582"/>
      <c r="C50" s="583"/>
      <c r="D50" s="583"/>
      <c r="E50" s="583"/>
      <c r="F50" s="583"/>
      <c r="G50" s="583"/>
      <c r="H50" s="583"/>
      <c r="I50" s="583"/>
      <c r="J50" s="583"/>
      <c r="K50" s="583"/>
      <c r="L50" s="584"/>
      <c r="M50" s="152"/>
      <c r="O50" s="154"/>
      <c r="P50" s="154"/>
    </row>
    <row r="51" spans="1:16" s="3" customFormat="1" x14ac:dyDescent="0.25">
      <c r="A51" s="12"/>
      <c r="B51" s="582"/>
      <c r="C51" s="583"/>
      <c r="D51" s="583"/>
      <c r="E51" s="583"/>
      <c r="F51" s="583"/>
      <c r="G51" s="583"/>
      <c r="H51" s="583"/>
      <c r="I51" s="583"/>
      <c r="J51" s="583"/>
      <c r="K51" s="583"/>
      <c r="L51" s="584"/>
      <c r="M51" s="152"/>
      <c r="O51" s="154"/>
      <c r="P51" s="154"/>
    </row>
    <row r="52" spans="1:16" s="3" customFormat="1" x14ac:dyDescent="0.25">
      <c r="A52" s="12"/>
      <c r="B52" s="582"/>
      <c r="C52" s="583"/>
      <c r="D52" s="583"/>
      <c r="E52" s="583"/>
      <c r="F52" s="583"/>
      <c r="G52" s="583"/>
      <c r="H52" s="583"/>
      <c r="I52" s="583"/>
      <c r="J52" s="583"/>
      <c r="K52" s="583"/>
      <c r="L52" s="584"/>
      <c r="M52" s="152"/>
      <c r="O52" s="154"/>
      <c r="P52" s="154"/>
    </row>
    <row r="53" spans="1:16" s="3" customFormat="1" x14ac:dyDescent="0.25">
      <c r="A53" s="12"/>
      <c r="B53" s="582"/>
      <c r="C53" s="583"/>
      <c r="D53" s="583"/>
      <c r="E53" s="583"/>
      <c r="F53" s="583"/>
      <c r="G53" s="583"/>
      <c r="H53" s="583"/>
      <c r="I53" s="583"/>
      <c r="J53" s="583"/>
      <c r="K53" s="583"/>
      <c r="L53" s="584"/>
      <c r="M53" s="152"/>
      <c r="O53" s="154"/>
      <c r="P53" s="154"/>
    </row>
    <row r="54" spans="1:16" s="3" customFormat="1" x14ac:dyDescent="0.25">
      <c r="A54" s="12"/>
      <c r="B54" s="582"/>
      <c r="C54" s="583"/>
      <c r="D54" s="583"/>
      <c r="E54" s="583"/>
      <c r="F54" s="583"/>
      <c r="G54" s="583"/>
      <c r="H54" s="583"/>
      <c r="I54" s="583"/>
      <c r="J54" s="583"/>
      <c r="K54" s="583"/>
      <c r="L54" s="584"/>
      <c r="M54" s="152"/>
      <c r="O54" s="154"/>
      <c r="P54" s="154"/>
    </row>
    <row r="55" spans="1:16" s="3" customFormat="1" x14ac:dyDescent="0.25">
      <c r="A55" s="12"/>
      <c r="B55" s="582"/>
      <c r="C55" s="583"/>
      <c r="D55" s="583"/>
      <c r="E55" s="583"/>
      <c r="F55" s="583"/>
      <c r="G55" s="583"/>
      <c r="H55" s="583"/>
      <c r="I55" s="583"/>
      <c r="J55" s="583"/>
      <c r="K55" s="583"/>
      <c r="L55" s="584"/>
      <c r="M55" s="152"/>
      <c r="O55" s="154"/>
      <c r="P55" s="154"/>
    </row>
    <row r="56" spans="1:16" s="152" customFormat="1" x14ac:dyDescent="0.25">
      <c r="A56" s="173"/>
      <c r="B56" s="187"/>
      <c r="C56" s="188"/>
      <c r="D56" s="188"/>
      <c r="E56" s="188"/>
      <c r="F56" s="188"/>
      <c r="G56" s="188"/>
      <c r="H56" s="188"/>
      <c r="I56" s="188"/>
      <c r="J56" s="188"/>
      <c r="K56" s="188"/>
      <c r="L56" s="186"/>
    </row>
    <row r="57" spans="1:16" s="3" customFormat="1" x14ac:dyDescent="0.25">
      <c r="A57" s="12"/>
      <c r="B57" s="585" t="s">
        <v>27</v>
      </c>
      <c r="C57" s="586"/>
      <c r="D57" s="586"/>
      <c r="E57" s="586"/>
      <c r="F57" s="586"/>
      <c r="G57" s="586"/>
      <c r="H57" s="586"/>
      <c r="I57" s="586"/>
      <c r="J57" s="586"/>
      <c r="K57" s="586"/>
      <c r="L57" s="587"/>
      <c r="M57" s="168"/>
    </row>
    <row r="58" spans="1:16" s="152" customFormat="1" x14ac:dyDescent="0.25">
      <c r="A58" s="173"/>
      <c r="B58" s="185"/>
      <c r="C58" s="174"/>
      <c r="D58" s="174"/>
      <c r="E58" s="174"/>
      <c r="F58" s="174"/>
      <c r="G58" s="174"/>
      <c r="H58" s="174"/>
      <c r="I58" s="174"/>
      <c r="J58" s="174"/>
      <c r="K58" s="174"/>
      <c r="L58" s="175"/>
    </row>
    <row r="59" spans="1:16" s="152" customFormat="1" x14ac:dyDescent="0.25">
      <c r="A59" s="173"/>
      <c r="B59" s="456" t="str">
        <f>IF(Intro!$G$21="English",O59,P59)</f>
        <v>Si la capacité pratique de l’usine a changé depuis le 1er janvier 2023, expliquez comment cela a été réalisé.</v>
      </c>
      <c r="C59" s="457"/>
      <c r="D59" s="457"/>
      <c r="E59" s="457"/>
      <c r="F59" s="457"/>
      <c r="G59" s="457"/>
      <c r="H59" s="457"/>
      <c r="I59" s="457"/>
      <c r="J59" s="457"/>
      <c r="K59" s="457"/>
      <c r="L59" s="458"/>
      <c r="O59" s="152" t="str">
        <f>"If practical plant capacity has changed since January 1 "&amp;Variables!$B$6&amp;", explain how this was achieved."</f>
        <v>If practical plant capacity has changed since January 1 2023, explain how this was achieved.</v>
      </c>
      <c r="P59" s="152" t="str">
        <f>"Si la capacité pratique de l’usine a changé depuis le 1er janvier "&amp;Variables!B6&amp;", expliquez comment cela a été réalisé."</f>
        <v>Si la capacité pratique de l’usine a changé depuis le 1er janvier 2023, expliquez comment cela a été réalisé.</v>
      </c>
    </row>
    <row r="60" spans="1:16" s="152" customFormat="1" x14ac:dyDescent="0.25">
      <c r="A60" s="173"/>
      <c r="B60" s="185"/>
      <c r="C60" s="174"/>
      <c r="D60" s="174"/>
      <c r="E60" s="174"/>
      <c r="F60" s="174"/>
      <c r="G60" s="174"/>
      <c r="H60" s="174"/>
      <c r="I60" s="174"/>
      <c r="J60" s="174"/>
      <c r="K60" s="174"/>
      <c r="L60" s="175"/>
    </row>
    <row r="61" spans="1:16" s="3" customFormat="1" x14ac:dyDescent="0.25">
      <c r="A61" s="12"/>
      <c r="B61" s="582"/>
      <c r="C61" s="583"/>
      <c r="D61" s="583"/>
      <c r="E61" s="583"/>
      <c r="F61" s="583"/>
      <c r="G61" s="583"/>
      <c r="H61" s="583"/>
      <c r="I61" s="583"/>
      <c r="J61" s="583"/>
      <c r="K61" s="583"/>
      <c r="L61" s="584"/>
      <c r="M61" s="152"/>
      <c r="O61" s="154"/>
      <c r="P61" s="154"/>
    </row>
    <row r="62" spans="1:16" s="3" customFormat="1" x14ac:dyDescent="0.25">
      <c r="A62" s="12"/>
      <c r="B62" s="582"/>
      <c r="C62" s="583"/>
      <c r="D62" s="583"/>
      <c r="E62" s="583"/>
      <c r="F62" s="583"/>
      <c r="G62" s="583"/>
      <c r="H62" s="583"/>
      <c r="I62" s="583"/>
      <c r="J62" s="583"/>
      <c r="K62" s="583"/>
      <c r="L62" s="584"/>
      <c r="M62" s="152"/>
      <c r="O62" s="154"/>
      <c r="P62" s="154"/>
    </row>
    <row r="63" spans="1:16" s="3" customFormat="1" x14ac:dyDescent="0.25">
      <c r="A63" s="12"/>
      <c r="B63" s="582"/>
      <c r="C63" s="583"/>
      <c r="D63" s="583"/>
      <c r="E63" s="583"/>
      <c r="F63" s="583"/>
      <c r="G63" s="583"/>
      <c r="H63" s="583"/>
      <c r="I63" s="583"/>
      <c r="J63" s="583"/>
      <c r="K63" s="583"/>
      <c r="L63" s="584"/>
      <c r="M63" s="152"/>
      <c r="O63" s="154"/>
      <c r="P63" s="154"/>
    </row>
    <row r="64" spans="1:16" s="3" customFormat="1" x14ac:dyDescent="0.25">
      <c r="A64" s="12"/>
      <c r="B64" s="582"/>
      <c r="C64" s="583"/>
      <c r="D64" s="583"/>
      <c r="E64" s="583"/>
      <c r="F64" s="583"/>
      <c r="G64" s="583"/>
      <c r="H64" s="583"/>
      <c r="I64" s="583"/>
      <c r="J64" s="583"/>
      <c r="K64" s="583"/>
      <c r="L64" s="584"/>
      <c r="M64" s="152"/>
      <c r="O64" s="154"/>
      <c r="P64" s="154"/>
    </row>
    <row r="65" spans="1:16" s="3" customFormat="1" x14ac:dyDescent="0.25">
      <c r="A65" s="12"/>
      <c r="B65" s="582"/>
      <c r="C65" s="583"/>
      <c r="D65" s="583"/>
      <c r="E65" s="583"/>
      <c r="F65" s="583"/>
      <c r="G65" s="583"/>
      <c r="H65" s="583"/>
      <c r="I65" s="583"/>
      <c r="J65" s="583"/>
      <c r="K65" s="583"/>
      <c r="L65" s="584"/>
      <c r="M65" s="152"/>
      <c r="O65" s="154"/>
      <c r="P65" s="154"/>
    </row>
    <row r="66" spans="1:16" s="3" customFormat="1" x14ac:dyDescent="0.25">
      <c r="A66" s="12"/>
      <c r="B66" s="582"/>
      <c r="C66" s="583"/>
      <c r="D66" s="583"/>
      <c r="E66" s="583"/>
      <c r="F66" s="583"/>
      <c r="G66" s="583"/>
      <c r="H66" s="583"/>
      <c r="I66" s="583"/>
      <c r="J66" s="583"/>
      <c r="K66" s="583"/>
      <c r="L66" s="584"/>
      <c r="M66" s="152"/>
      <c r="O66" s="154"/>
      <c r="P66" s="154"/>
    </row>
    <row r="67" spans="1:16" s="3" customFormat="1" x14ac:dyDescent="0.25">
      <c r="A67" s="12"/>
      <c r="B67" s="582"/>
      <c r="C67" s="583"/>
      <c r="D67" s="583"/>
      <c r="E67" s="583"/>
      <c r="F67" s="583"/>
      <c r="G67" s="583"/>
      <c r="H67" s="583"/>
      <c r="I67" s="583"/>
      <c r="J67" s="583"/>
      <c r="K67" s="583"/>
      <c r="L67" s="584"/>
      <c r="M67" s="152"/>
      <c r="O67" s="154"/>
      <c r="P67" s="154"/>
    </row>
    <row r="68" spans="1:16" s="3" customFormat="1" x14ac:dyDescent="0.25">
      <c r="A68" s="12"/>
      <c r="B68" s="582"/>
      <c r="C68" s="583"/>
      <c r="D68" s="583"/>
      <c r="E68" s="583"/>
      <c r="F68" s="583"/>
      <c r="G68" s="583"/>
      <c r="H68" s="583"/>
      <c r="I68" s="583"/>
      <c r="J68" s="583"/>
      <c r="K68" s="583"/>
      <c r="L68" s="584"/>
      <c r="M68" s="152"/>
      <c r="O68" s="154"/>
      <c r="P68" s="154"/>
    </row>
    <row r="69" spans="1:16" s="152" customFormat="1" x14ac:dyDescent="0.25">
      <c r="A69" s="173"/>
      <c r="B69" s="187"/>
      <c r="C69" s="188"/>
      <c r="D69" s="188"/>
      <c r="E69" s="188"/>
      <c r="F69" s="188"/>
      <c r="G69" s="188"/>
      <c r="H69" s="188"/>
      <c r="I69" s="188"/>
      <c r="J69" s="188"/>
      <c r="K69" s="188"/>
      <c r="L69" s="186"/>
    </row>
    <row r="70" spans="1:16" s="3" customFormat="1" x14ac:dyDescent="0.25">
      <c r="A70" s="12"/>
      <c r="B70" s="585" t="s">
        <v>28</v>
      </c>
      <c r="C70" s="586"/>
      <c r="D70" s="586"/>
      <c r="E70" s="586"/>
      <c r="F70" s="586"/>
      <c r="G70" s="586"/>
      <c r="H70" s="586"/>
      <c r="I70" s="586"/>
      <c r="J70" s="586"/>
      <c r="K70" s="586"/>
      <c r="L70" s="587"/>
      <c r="M70" s="168"/>
    </row>
    <row r="71" spans="1:16" s="152" customFormat="1" x14ac:dyDescent="0.25">
      <c r="A71" s="173"/>
      <c r="B71" s="185"/>
      <c r="C71" s="174"/>
      <c r="D71" s="174"/>
      <c r="E71" s="174"/>
      <c r="F71" s="174"/>
      <c r="G71" s="174"/>
      <c r="H71" s="174"/>
      <c r="I71" s="174"/>
      <c r="J71" s="174"/>
      <c r="K71" s="174"/>
      <c r="L71" s="175"/>
    </row>
    <row r="72" spans="1:16" s="152" customFormat="1" x14ac:dyDescent="0.25">
      <c r="A72" s="173"/>
      <c r="B72" s="456" t="str">
        <f>IF(Intro!$G$21="English",O72,P72)</f>
        <v>Votre entreprise envisage-t-elle d'augmenter ou de diminuer la capacité pratique de son usine de production de marchandises au cours des deux prochaines années ? Incluez les dates cibles, la capacité pratique cible de l’usine, les usines concernées et les raisons du changement.</v>
      </c>
      <c r="C72" s="457"/>
      <c r="D72" s="457"/>
      <c r="E72" s="457"/>
      <c r="F72" s="457"/>
      <c r="G72" s="457"/>
      <c r="H72" s="457"/>
      <c r="I72" s="457"/>
      <c r="J72" s="457"/>
      <c r="K72" s="457"/>
      <c r="L72" s="458"/>
      <c r="O72" s="152" t="s">
        <v>412</v>
      </c>
      <c r="P72" s="152" t="s">
        <v>347</v>
      </c>
    </row>
    <row r="73" spans="1:16" s="152" customFormat="1" x14ac:dyDescent="0.25">
      <c r="A73" s="173"/>
      <c r="B73" s="456"/>
      <c r="C73" s="457"/>
      <c r="D73" s="457"/>
      <c r="E73" s="457"/>
      <c r="F73" s="457"/>
      <c r="G73" s="457"/>
      <c r="H73" s="457"/>
      <c r="I73" s="457"/>
      <c r="J73" s="457"/>
      <c r="K73" s="457"/>
      <c r="L73" s="458"/>
    </row>
    <row r="74" spans="1:16" s="152" customFormat="1" x14ac:dyDescent="0.25">
      <c r="A74" s="173"/>
      <c r="B74" s="185"/>
      <c r="C74" s="174"/>
      <c r="D74" s="174"/>
      <c r="E74" s="174"/>
      <c r="F74" s="174"/>
      <c r="G74" s="174"/>
      <c r="H74" s="174"/>
      <c r="I74" s="174"/>
      <c r="J74" s="174"/>
      <c r="K74" s="174"/>
      <c r="L74" s="175"/>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s="3" customFormat="1" x14ac:dyDescent="0.25">
      <c r="A78" s="12"/>
      <c r="B78" s="582"/>
      <c r="C78" s="583"/>
      <c r="D78" s="583"/>
      <c r="E78" s="583"/>
      <c r="F78" s="583"/>
      <c r="G78" s="583"/>
      <c r="H78" s="583"/>
      <c r="I78" s="583"/>
      <c r="J78" s="583"/>
      <c r="K78" s="583"/>
      <c r="L78" s="584"/>
      <c r="M78" s="152"/>
      <c r="O78" s="154"/>
      <c r="P78" s="154"/>
    </row>
    <row r="79" spans="1:16" s="3" customFormat="1" x14ac:dyDescent="0.25">
      <c r="A79" s="12"/>
      <c r="B79" s="582"/>
      <c r="C79" s="583"/>
      <c r="D79" s="583"/>
      <c r="E79" s="583"/>
      <c r="F79" s="583"/>
      <c r="G79" s="583"/>
      <c r="H79" s="583"/>
      <c r="I79" s="583"/>
      <c r="J79" s="583"/>
      <c r="K79" s="583"/>
      <c r="L79" s="584"/>
      <c r="M79" s="152"/>
      <c r="O79" s="154"/>
      <c r="P79" s="154"/>
    </row>
    <row r="80" spans="1:16" s="3" customFormat="1" x14ac:dyDescent="0.25">
      <c r="A80" s="12"/>
      <c r="B80" s="582"/>
      <c r="C80" s="583"/>
      <c r="D80" s="583"/>
      <c r="E80" s="583"/>
      <c r="F80" s="583"/>
      <c r="G80" s="583"/>
      <c r="H80" s="583"/>
      <c r="I80" s="583"/>
      <c r="J80" s="583"/>
      <c r="K80" s="583"/>
      <c r="L80" s="584"/>
      <c r="M80" s="152"/>
      <c r="O80" s="154"/>
      <c r="P80" s="154"/>
    </row>
    <row r="81" spans="1:16" s="3" customFormat="1" x14ac:dyDescent="0.25">
      <c r="A81" s="12"/>
      <c r="B81" s="582"/>
      <c r="C81" s="583"/>
      <c r="D81" s="583"/>
      <c r="E81" s="583"/>
      <c r="F81" s="583"/>
      <c r="G81" s="583"/>
      <c r="H81" s="583"/>
      <c r="I81" s="583"/>
      <c r="J81" s="583"/>
      <c r="K81" s="583"/>
      <c r="L81" s="584"/>
      <c r="M81" s="152"/>
      <c r="O81" s="154"/>
      <c r="P81" s="154"/>
    </row>
    <row r="82" spans="1:16" s="3" customFormat="1" x14ac:dyDescent="0.25">
      <c r="A82" s="12"/>
      <c r="B82" s="582"/>
      <c r="C82" s="583"/>
      <c r="D82" s="583"/>
      <c r="E82" s="583"/>
      <c r="F82" s="583"/>
      <c r="G82" s="583"/>
      <c r="H82" s="583"/>
      <c r="I82" s="583"/>
      <c r="J82" s="583"/>
      <c r="K82" s="583"/>
      <c r="L82" s="584"/>
      <c r="M82" s="152"/>
      <c r="O82" s="154"/>
      <c r="P82" s="154"/>
    </row>
    <row r="83" spans="1:16" s="152" customFormat="1" x14ac:dyDescent="0.25">
      <c r="A83" s="173"/>
      <c r="B83" s="187"/>
      <c r="C83" s="188"/>
      <c r="D83" s="188"/>
      <c r="E83" s="188"/>
      <c r="F83" s="188"/>
      <c r="G83" s="188"/>
      <c r="H83" s="188"/>
      <c r="I83" s="188"/>
      <c r="J83" s="188"/>
      <c r="K83" s="188"/>
      <c r="L83" s="186"/>
    </row>
    <row r="84" spans="1:16" s="3" customFormat="1" x14ac:dyDescent="0.25">
      <c r="A84" s="12"/>
      <c r="B84" s="585" t="s">
        <v>30</v>
      </c>
      <c r="C84" s="586"/>
      <c r="D84" s="586"/>
      <c r="E84" s="586"/>
      <c r="F84" s="586"/>
      <c r="G84" s="586"/>
      <c r="H84" s="586"/>
      <c r="I84" s="586"/>
      <c r="J84" s="586"/>
      <c r="K84" s="586"/>
      <c r="L84" s="587"/>
      <c r="M84" s="168"/>
    </row>
    <row r="85" spans="1:16" s="152" customFormat="1" x14ac:dyDescent="0.25">
      <c r="A85" s="173"/>
      <c r="B85" s="185"/>
      <c r="C85" s="174"/>
      <c r="D85" s="174"/>
      <c r="E85" s="174"/>
      <c r="F85" s="174"/>
      <c r="G85" s="174"/>
      <c r="H85" s="174"/>
      <c r="I85" s="174"/>
      <c r="J85" s="174"/>
      <c r="K85" s="174"/>
      <c r="L85" s="175"/>
    </row>
    <row r="86" spans="1:16" s="152" customFormat="1" x14ac:dyDescent="0.25">
      <c r="A86" s="173"/>
      <c r="B86" s="475" t="str">
        <f>IF(Intro!$G$21="English",O86,P86)</f>
        <v>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v>
      </c>
      <c r="C86" s="476"/>
      <c r="D86" s="476"/>
      <c r="E86" s="476"/>
      <c r="F86" s="476"/>
      <c r="G86" s="476"/>
      <c r="H86" s="476"/>
      <c r="I86" s="476"/>
      <c r="J86" s="476"/>
      <c r="K86" s="476"/>
      <c r="L86" s="477"/>
      <c r="O86" s="152" t="s">
        <v>413</v>
      </c>
      <c r="P86" s="152" t="s">
        <v>348</v>
      </c>
    </row>
    <row r="87" spans="1:16" s="152" customFormat="1" x14ac:dyDescent="0.25">
      <c r="A87" s="173"/>
      <c r="B87" s="475"/>
      <c r="C87" s="476"/>
      <c r="D87" s="476"/>
      <c r="E87" s="476"/>
      <c r="F87" s="476"/>
      <c r="G87" s="476"/>
      <c r="H87" s="476"/>
      <c r="I87" s="476"/>
      <c r="J87" s="476"/>
      <c r="K87" s="476"/>
      <c r="L87" s="477"/>
    </row>
    <row r="88" spans="1:16" s="152" customFormat="1" x14ac:dyDescent="0.25">
      <c r="A88" s="173"/>
      <c r="B88" s="475"/>
      <c r="C88" s="476"/>
      <c r="D88" s="476"/>
      <c r="E88" s="476"/>
      <c r="F88" s="476"/>
      <c r="G88" s="476"/>
      <c r="H88" s="476"/>
      <c r="I88" s="476"/>
      <c r="J88" s="476"/>
      <c r="K88" s="476"/>
      <c r="L88" s="477"/>
    </row>
    <row r="89" spans="1:16" s="152" customFormat="1" x14ac:dyDescent="0.25">
      <c r="A89" s="173"/>
      <c r="B89" s="185"/>
      <c r="C89" s="174"/>
      <c r="D89" s="174"/>
      <c r="E89" s="174"/>
      <c r="F89" s="174"/>
      <c r="G89" s="174"/>
      <c r="H89" s="174"/>
      <c r="I89" s="174"/>
      <c r="J89" s="174"/>
      <c r="K89" s="174"/>
      <c r="L89" s="175"/>
    </row>
    <row r="90" spans="1:16" s="3" customFormat="1" ht="14.25" customHeight="1" x14ac:dyDescent="0.25">
      <c r="A90" s="12"/>
      <c r="B90" s="654"/>
      <c r="C90" s="655"/>
      <c r="D90" s="655"/>
      <c r="E90" s="655"/>
      <c r="F90" s="655"/>
      <c r="G90" s="655"/>
      <c r="H90" s="655"/>
      <c r="I90" s="655"/>
      <c r="J90" s="655"/>
      <c r="K90" s="655"/>
      <c r="L90" s="656"/>
      <c r="M90" s="152"/>
      <c r="O90" s="154"/>
      <c r="P90" s="154"/>
    </row>
    <row r="91" spans="1:16" s="3" customFormat="1" x14ac:dyDescent="0.25">
      <c r="A91" s="12"/>
      <c r="B91" s="654"/>
      <c r="C91" s="655"/>
      <c r="D91" s="655"/>
      <c r="E91" s="655"/>
      <c r="F91" s="655"/>
      <c r="G91" s="655"/>
      <c r="H91" s="655"/>
      <c r="I91" s="655"/>
      <c r="J91" s="655"/>
      <c r="K91" s="655"/>
      <c r="L91" s="656"/>
      <c r="M91" s="152"/>
      <c r="O91" s="154"/>
      <c r="P91" s="154"/>
    </row>
    <row r="92" spans="1:16" s="3" customFormat="1" x14ac:dyDescent="0.25">
      <c r="A92" s="12"/>
      <c r="B92" s="654"/>
      <c r="C92" s="655"/>
      <c r="D92" s="655"/>
      <c r="E92" s="655"/>
      <c r="F92" s="655"/>
      <c r="G92" s="655"/>
      <c r="H92" s="655"/>
      <c r="I92" s="655"/>
      <c r="J92" s="655"/>
      <c r="K92" s="655"/>
      <c r="L92" s="656"/>
      <c r="M92" s="152"/>
      <c r="O92" s="154"/>
      <c r="P92" s="154"/>
    </row>
    <row r="93" spans="1:16" s="3" customFormat="1" x14ac:dyDescent="0.25">
      <c r="A93" s="12"/>
      <c r="B93" s="654"/>
      <c r="C93" s="655"/>
      <c r="D93" s="655"/>
      <c r="E93" s="655"/>
      <c r="F93" s="655"/>
      <c r="G93" s="655"/>
      <c r="H93" s="655"/>
      <c r="I93" s="655"/>
      <c r="J93" s="655"/>
      <c r="K93" s="655"/>
      <c r="L93" s="656"/>
      <c r="M93" s="152"/>
      <c r="O93" s="154"/>
      <c r="P93" s="154"/>
    </row>
    <row r="94" spans="1:16" s="3" customFormat="1" x14ac:dyDescent="0.25">
      <c r="A94" s="12"/>
      <c r="B94" s="654"/>
      <c r="C94" s="655"/>
      <c r="D94" s="655"/>
      <c r="E94" s="655"/>
      <c r="F94" s="655"/>
      <c r="G94" s="655"/>
      <c r="H94" s="655"/>
      <c r="I94" s="655"/>
      <c r="J94" s="655"/>
      <c r="K94" s="655"/>
      <c r="L94" s="656"/>
      <c r="M94" s="152"/>
      <c r="O94" s="154"/>
      <c r="P94" s="154"/>
    </row>
    <row r="95" spans="1:16" s="3" customFormat="1" x14ac:dyDescent="0.25">
      <c r="A95" s="12"/>
      <c r="B95" s="654"/>
      <c r="C95" s="655"/>
      <c r="D95" s="655"/>
      <c r="E95" s="655"/>
      <c r="F95" s="655"/>
      <c r="G95" s="655"/>
      <c r="H95" s="655"/>
      <c r="I95" s="655"/>
      <c r="J95" s="655"/>
      <c r="K95" s="655"/>
      <c r="L95" s="656"/>
      <c r="M95" s="152"/>
      <c r="O95" s="154"/>
      <c r="P95" s="154"/>
    </row>
    <row r="96" spans="1:16" s="3" customFormat="1" x14ac:dyDescent="0.25">
      <c r="A96" s="12"/>
      <c r="B96" s="654"/>
      <c r="C96" s="655"/>
      <c r="D96" s="655"/>
      <c r="E96" s="655"/>
      <c r="F96" s="655"/>
      <c r="G96" s="655"/>
      <c r="H96" s="655"/>
      <c r="I96" s="655"/>
      <c r="J96" s="655"/>
      <c r="K96" s="655"/>
      <c r="L96" s="656"/>
      <c r="M96" s="152"/>
      <c r="O96" s="154"/>
      <c r="P96" s="154"/>
    </row>
    <row r="97" spans="1:16" s="152" customFormat="1" x14ac:dyDescent="0.25">
      <c r="A97" s="173"/>
      <c r="B97" s="187"/>
      <c r="C97" s="188"/>
      <c r="D97" s="188"/>
      <c r="E97" s="188"/>
      <c r="F97" s="188"/>
      <c r="G97" s="188"/>
      <c r="H97" s="188"/>
      <c r="I97" s="188"/>
      <c r="J97" s="188"/>
      <c r="K97" s="188"/>
      <c r="L97" s="186"/>
    </row>
    <row r="98" spans="1:16" s="3" customFormat="1" x14ac:dyDescent="0.25">
      <c r="A98" s="12"/>
      <c r="B98" s="585" t="s">
        <v>31</v>
      </c>
      <c r="C98" s="586"/>
      <c r="D98" s="586"/>
      <c r="E98" s="586"/>
      <c r="F98" s="586"/>
      <c r="G98" s="586"/>
      <c r="H98" s="586"/>
      <c r="I98" s="586"/>
      <c r="J98" s="586"/>
      <c r="K98" s="586"/>
      <c r="L98" s="587"/>
      <c r="M98" s="168"/>
    </row>
    <row r="99" spans="1:16" s="152" customFormat="1" x14ac:dyDescent="0.25">
      <c r="A99" s="173"/>
      <c r="B99" s="185"/>
      <c r="C99" s="174"/>
      <c r="D99" s="174"/>
      <c r="E99" s="174"/>
      <c r="F99" s="174"/>
      <c r="G99" s="174"/>
      <c r="H99" s="174"/>
      <c r="I99" s="174"/>
      <c r="J99" s="174"/>
      <c r="K99" s="174"/>
      <c r="L99" s="175"/>
    </row>
    <row r="100" spans="1:16" s="152" customFormat="1" x14ac:dyDescent="0.25">
      <c r="A100" s="173"/>
      <c r="B100" s="456" t="str">
        <f>IF(Intro!$G$21="English",O100,P100)</f>
        <v>Votre entreprise envisage-t-elle de modifier la gamme de produits fabriqués sur le même équipement au cours des deux prochaines années? Fournissez les motifs et les hypothèses sous-tendant ces objectifs et ces stratégies.</v>
      </c>
      <c r="C100" s="457"/>
      <c r="D100" s="457"/>
      <c r="E100" s="457"/>
      <c r="F100" s="457"/>
      <c r="G100" s="457"/>
      <c r="H100" s="457"/>
      <c r="I100" s="457"/>
      <c r="J100" s="457"/>
      <c r="K100" s="457"/>
      <c r="L100" s="458"/>
      <c r="O100" s="152" t="s">
        <v>414</v>
      </c>
      <c r="P100" s="152" t="s">
        <v>349</v>
      </c>
    </row>
    <row r="101" spans="1:16" s="152" customFormat="1" x14ac:dyDescent="0.25">
      <c r="A101" s="173"/>
      <c r="B101" s="456"/>
      <c r="C101" s="457"/>
      <c r="D101" s="457"/>
      <c r="E101" s="457"/>
      <c r="F101" s="457"/>
      <c r="G101" s="457"/>
      <c r="H101" s="457"/>
      <c r="I101" s="457"/>
      <c r="J101" s="457"/>
      <c r="K101" s="457"/>
      <c r="L101" s="458"/>
    </row>
    <row r="102" spans="1:16" s="152" customFormat="1" x14ac:dyDescent="0.25">
      <c r="A102" s="173"/>
      <c r="B102" s="185"/>
      <c r="C102" s="174"/>
      <c r="D102" s="174"/>
      <c r="E102" s="174"/>
      <c r="F102" s="174"/>
      <c r="G102" s="174"/>
      <c r="H102" s="174"/>
      <c r="I102" s="174"/>
      <c r="J102" s="174"/>
      <c r="K102" s="174"/>
      <c r="L102" s="175"/>
    </row>
    <row r="103" spans="1:16" s="3" customFormat="1" x14ac:dyDescent="0.25">
      <c r="A103" s="12"/>
      <c r="B103" s="582"/>
      <c r="C103" s="583"/>
      <c r="D103" s="583"/>
      <c r="E103" s="583"/>
      <c r="F103" s="583"/>
      <c r="G103" s="583"/>
      <c r="H103" s="583"/>
      <c r="I103" s="583"/>
      <c r="J103" s="583"/>
      <c r="K103" s="583"/>
      <c r="L103" s="584"/>
      <c r="M103" s="152"/>
      <c r="O103" s="154"/>
      <c r="P103" s="154"/>
    </row>
    <row r="104" spans="1:16" s="3" customFormat="1" x14ac:dyDescent="0.25">
      <c r="A104" s="12"/>
      <c r="B104" s="582"/>
      <c r="C104" s="583"/>
      <c r="D104" s="583"/>
      <c r="E104" s="583"/>
      <c r="F104" s="583"/>
      <c r="G104" s="583"/>
      <c r="H104" s="583"/>
      <c r="I104" s="583"/>
      <c r="J104" s="583"/>
      <c r="K104" s="583"/>
      <c r="L104" s="584"/>
      <c r="M104" s="152"/>
      <c r="O104" s="154"/>
      <c r="P104" s="154"/>
    </row>
    <row r="105" spans="1:16" s="3" customFormat="1" x14ac:dyDescent="0.25">
      <c r="A105" s="12"/>
      <c r="B105" s="582"/>
      <c r="C105" s="583"/>
      <c r="D105" s="583"/>
      <c r="E105" s="583"/>
      <c r="F105" s="583"/>
      <c r="G105" s="583"/>
      <c r="H105" s="583"/>
      <c r="I105" s="583"/>
      <c r="J105" s="583"/>
      <c r="K105" s="583"/>
      <c r="L105" s="584"/>
      <c r="M105" s="152"/>
      <c r="O105" s="154"/>
      <c r="P105" s="154"/>
    </row>
    <row r="106" spans="1:16" s="3" customFormat="1" x14ac:dyDescent="0.25">
      <c r="A106" s="12"/>
      <c r="B106" s="582"/>
      <c r="C106" s="583"/>
      <c r="D106" s="583"/>
      <c r="E106" s="583"/>
      <c r="F106" s="583"/>
      <c r="G106" s="583"/>
      <c r="H106" s="583"/>
      <c r="I106" s="583"/>
      <c r="J106" s="583"/>
      <c r="K106" s="583"/>
      <c r="L106" s="584"/>
      <c r="M106" s="152"/>
      <c r="O106" s="154"/>
      <c r="P106" s="154"/>
    </row>
    <row r="107" spans="1:16" s="3" customFormat="1" x14ac:dyDescent="0.25">
      <c r="A107" s="12"/>
      <c r="B107" s="582"/>
      <c r="C107" s="583"/>
      <c r="D107" s="583"/>
      <c r="E107" s="583"/>
      <c r="F107" s="583"/>
      <c r="G107" s="583"/>
      <c r="H107" s="583"/>
      <c r="I107" s="583"/>
      <c r="J107" s="583"/>
      <c r="K107" s="583"/>
      <c r="L107" s="584"/>
      <c r="M107" s="152"/>
      <c r="O107" s="154"/>
      <c r="P107" s="154"/>
    </row>
    <row r="108" spans="1:16" s="3" customFormat="1" x14ac:dyDescent="0.25">
      <c r="A108" s="12"/>
      <c r="B108" s="582"/>
      <c r="C108" s="583"/>
      <c r="D108" s="583"/>
      <c r="E108" s="583"/>
      <c r="F108" s="583"/>
      <c r="G108" s="583"/>
      <c r="H108" s="583"/>
      <c r="I108" s="583"/>
      <c r="J108" s="583"/>
      <c r="K108" s="583"/>
      <c r="L108" s="584"/>
      <c r="M108" s="152"/>
      <c r="O108" s="154"/>
      <c r="P108" s="154"/>
    </row>
    <row r="109" spans="1:16" s="3" customFormat="1" x14ac:dyDescent="0.25">
      <c r="A109" s="12"/>
      <c r="B109" s="582"/>
      <c r="C109" s="583"/>
      <c r="D109" s="583"/>
      <c r="E109" s="583"/>
      <c r="F109" s="583"/>
      <c r="G109" s="583"/>
      <c r="H109" s="583"/>
      <c r="I109" s="583"/>
      <c r="J109" s="583"/>
      <c r="K109" s="583"/>
      <c r="L109" s="584"/>
      <c r="M109" s="152"/>
      <c r="O109" s="154"/>
      <c r="P109" s="154"/>
    </row>
    <row r="110" spans="1:16" s="3" customFormat="1" x14ac:dyDescent="0.25">
      <c r="A110" s="12"/>
      <c r="B110" s="582"/>
      <c r="C110" s="583"/>
      <c r="D110" s="583"/>
      <c r="E110" s="583"/>
      <c r="F110" s="583"/>
      <c r="G110" s="583"/>
      <c r="H110" s="583"/>
      <c r="I110" s="583"/>
      <c r="J110" s="583"/>
      <c r="K110" s="583"/>
      <c r="L110" s="584"/>
      <c r="M110" s="152"/>
      <c r="O110" s="154"/>
      <c r="P110" s="154"/>
    </row>
    <row r="111" spans="1:16" s="152" customFormat="1" x14ac:dyDescent="0.25">
      <c r="A111" s="173"/>
      <c r="B111" s="187"/>
      <c r="C111" s="188"/>
      <c r="D111" s="188"/>
      <c r="E111" s="188"/>
      <c r="F111" s="188"/>
      <c r="G111" s="188"/>
      <c r="H111" s="188"/>
      <c r="I111" s="188"/>
      <c r="J111" s="188"/>
      <c r="K111" s="188"/>
      <c r="L111" s="186"/>
    </row>
  </sheetData>
  <sheetProtection algorithmName="SHA-512" hashValue="RgRspnUZacXB8C5r1LemQ90JDpIeHVmyUFuVWfgT+DrpFwjNDSV3EouKMjkQp83hGL6jRH6MuXfk/nTNNVr83Q==" saltValue="pLPORhHQaXWdpHRaVJQqUw==" spinCount="100000" sheet="1" objects="1" scenarios="1" selectLockedCells="1"/>
  <mergeCells count="41">
    <mergeCell ref="B4:L4"/>
    <mergeCell ref="B5:L5"/>
    <mergeCell ref="B6:L6"/>
    <mergeCell ref="B13:L13"/>
    <mergeCell ref="K19:K20"/>
    <mergeCell ref="B12:L12"/>
    <mergeCell ref="B26:E26"/>
    <mergeCell ref="B27:E27"/>
    <mergeCell ref="B8:L8"/>
    <mergeCell ref="B9:L9"/>
    <mergeCell ref="B10:L10"/>
    <mergeCell ref="B21:E21"/>
    <mergeCell ref="B22:E22"/>
    <mergeCell ref="B24:E24"/>
    <mergeCell ref="B15:L17"/>
    <mergeCell ref="G19:G20"/>
    <mergeCell ref="H19:H20"/>
    <mergeCell ref="I19:I20"/>
    <mergeCell ref="J19:J20"/>
    <mergeCell ref="B25:E25"/>
    <mergeCell ref="B23:E23"/>
    <mergeCell ref="B33:L33"/>
    <mergeCell ref="B46:L46"/>
    <mergeCell ref="B59:L59"/>
    <mergeCell ref="B28:E28"/>
    <mergeCell ref="B29:E29"/>
    <mergeCell ref="B35:L42"/>
    <mergeCell ref="B48:L55"/>
    <mergeCell ref="B31:L31"/>
    <mergeCell ref="B44:L44"/>
    <mergeCell ref="B57:L57"/>
    <mergeCell ref="B103:L110"/>
    <mergeCell ref="B61:L68"/>
    <mergeCell ref="B75:L82"/>
    <mergeCell ref="B84:L84"/>
    <mergeCell ref="B98:L98"/>
    <mergeCell ref="B70:L70"/>
    <mergeCell ref="B100:L101"/>
    <mergeCell ref="B86:L88"/>
    <mergeCell ref="B72:L73"/>
    <mergeCell ref="B90:L96"/>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8:K29 G26:K26 G24:K24" xr:uid="{37A662D5-5CA6-44ED-B631-9F45025DB71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5 B48 B61 B75 B90 B103" xr:uid="{9A88E553-ACFB-40FF-B26F-32C105B2B4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3 G25:K25 G27:K27" xr:uid="{3C0CA42B-CDC9-4060-8B8D-3C82DFD5D8F9}">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6"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335"/>
  <sheetViews>
    <sheetView showGridLines="0" zoomScaleNormal="100" workbookViewId="0">
      <selection activeCell="G25" sqref="G25"/>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15.5703125" style="2" customWidth="1"/>
    <col min="18" max="16384" width="9.140625" style="2"/>
  </cols>
  <sheetData>
    <row r="1" spans="1:16" x14ac:dyDescent="0.25">
      <c r="O1" s="2" t="s">
        <v>744</v>
      </c>
      <c r="P1" s="2" t="s">
        <v>744</v>
      </c>
    </row>
    <row r="2" spans="1:16" x14ac:dyDescent="0.25">
      <c r="B2" s="20" t="str">
        <f>'Pro 1'!B2</f>
        <v>PROTÉGÉ</v>
      </c>
      <c r="C2" s="20"/>
      <c r="D2" s="20"/>
      <c r="O2" s="3" t="s">
        <v>166</v>
      </c>
      <c r="P2" s="3" t="s">
        <v>167</v>
      </c>
    </row>
    <row r="3" spans="1:16" x14ac:dyDescent="0.25">
      <c r="B3" s="21"/>
      <c r="C3" s="21"/>
      <c r="D3" s="21"/>
      <c r="O3" s="8"/>
      <c r="P3" s="8"/>
    </row>
    <row r="4" spans="1:16" s="8" customFormat="1" x14ac:dyDescent="0.25">
      <c r="A4" s="13"/>
      <c r="B4" s="462" t="str">
        <f>Info!B4</f>
        <v>QUESTIONNAIRE À L’INTENTION DES PRODUCTEURS</v>
      </c>
      <c r="C4" s="463"/>
      <c r="D4" s="463"/>
      <c r="E4" s="463"/>
      <c r="F4" s="463"/>
      <c r="G4" s="463"/>
      <c r="H4" s="463"/>
      <c r="I4" s="463"/>
      <c r="J4" s="463"/>
      <c r="K4" s="463"/>
      <c r="L4" s="464"/>
      <c r="M4" s="15"/>
      <c r="N4" s="15"/>
      <c r="O4" s="14"/>
      <c r="P4" s="14"/>
    </row>
    <row r="5" spans="1:16" s="8" customFormat="1" x14ac:dyDescent="0.25">
      <c r="A5" s="13"/>
      <c r="B5" s="465" t="str">
        <f>Info!B5</f>
        <v>NQ-2026-005</v>
      </c>
      <c r="C5" s="466"/>
      <c r="D5" s="466"/>
      <c r="E5" s="466"/>
      <c r="F5" s="466"/>
      <c r="G5" s="466"/>
      <c r="H5" s="466"/>
      <c r="I5" s="466"/>
      <c r="J5" s="466"/>
      <c r="K5" s="466"/>
      <c r="L5" s="467"/>
      <c r="M5" s="15"/>
      <c r="N5" s="15"/>
      <c r="O5" s="14"/>
      <c r="P5" s="14"/>
    </row>
    <row r="6" spans="1:16" s="9" customFormat="1" x14ac:dyDescent="0.25">
      <c r="A6" s="13"/>
      <c r="B6" s="465" t="str">
        <f>Info!B6</f>
        <v>CERTAINS RAYONNAGES EN ACIER</v>
      </c>
      <c r="C6" s="466"/>
      <c r="D6" s="466"/>
      <c r="E6" s="466"/>
      <c r="F6" s="466"/>
      <c r="G6" s="466"/>
      <c r="H6" s="466"/>
      <c r="I6" s="466"/>
      <c r="J6" s="466"/>
      <c r="K6" s="466"/>
      <c r="L6" s="467"/>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7" t="str">
        <f>Public!B8</f>
        <v>Les questions suivantes font référence aux marchandises comme définies dans la description du produit de l'onglet Intro.</v>
      </c>
      <c r="C8" s="608"/>
      <c r="D8" s="608"/>
      <c r="E8" s="608"/>
      <c r="F8" s="608"/>
      <c r="G8" s="608"/>
      <c r="H8" s="608"/>
      <c r="I8" s="608"/>
      <c r="J8" s="608"/>
      <c r="K8" s="608"/>
      <c r="L8" s="609"/>
      <c r="M8" s="14"/>
      <c r="N8" s="14"/>
      <c r="O8" s="10"/>
      <c r="P8" s="10"/>
    </row>
    <row r="9" spans="1:16" s="9" customFormat="1" x14ac:dyDescent="0.25">
      <c r="A9" s="13"/>
      <c r="B9" s="607" t="str">
        <f>Public!B9</f>
        <v>Des informations sur le produit et un glossaire de termes sont disponibles dans l'onglet Info.</v>
      </c>
      <c r="C9" s="608"/>
      <c r="D9" s="608"/>
      <c r="E9" s="608"/>
      <c r="F9" s="608"/>
      <c r="G9" s="608"/>
      <c r="H9" s="608"/>
      <c r="I9" s="608"/>
      <c r="J9" s="608"/>
      <c r="K9" s="608"/>
      <c r="L9" s="609"/>
      <c r="M9" s="14"/>
      <c r="N9" s="14"/>
      <c r="O9" s="10"/>
    </row>
    <row r="10" spans="1:16" s="9" customFormat="1" x14ac:dyDescent="0.25">
      <c r="A10" s="13"/>
      <c r="B10" s="607" t="str">
        <f>'Pro 1'!B10</f>
        <v xml:space="preserve">Utilisez l'onglet AddPro si vous avez besoin de plus d'espace.
</v>
      </c>
      <c r="C10" s="608"/>
      <c r="D10" s="608"/>
      <c r="E10" s="608"/>
      <c r="F10" s="608"/>
      <c r="G10" s="608"/>
      <c r="H10" s="608"/>
      <c r="I10" s="608"/>
      <c r="J10" s="608"/>
      <c r="K10" s="608"/>
      <c r="L10" s="609"/>
      <c r="M10" s="14"/>
      <c r="N10" s="14"/>
      <c r="O10" s="10"/>
      <c r="P10" s="10"/>
    </row>
    <row r="11" spans="1:16" s="9" customFormat="1" x14ac:dyDescent="0.25">
      <c r="A11" s="13"/>
      <c r="B11" s="245"/>
      <c r="C11" s="242"/>
      <c r="D11" s="242"/>
      <c r="E11" s="28"/>
      <c r="F11" s="28"/>
      <c r="G11" s="28"/>
      <c r="H11" s="28"/>
      <c r="I11" s="28"/>
      <c r="J11" s="28"/>
      <c r="K11" s="28"/>
      <c r="L11" s="244"/>
      <c r="M11" s="14"/>
      <c r="N11" s="14"/>
      <c r="O11" s="10"/>
      <c r="P11" s="10"/>
    </row>
    <row r="12" spans="1:16" s="9" customFormat="1" x14ac:dyDescent="0.25">
      <c r="A12" s="13"/>
      <c r="B12" s="607" t="str">
        <f>IF(Intro!$G$21="English",O12,P12)</f>
        <v>Pour les questions de cet onglet, notez ce qui suit :</v>
      </c>
      <c r="C12" s="608"/>
      <c r="D12" s="608"/>
      <c r="E12" s="608"/>
      <c r="F12" s="608"/>
      <c r="G12" s="608"/>
      <c r="H12" s="608"/>
      <c r="I12" s="608"/>
      <c r="J12" s="608"/>
      <c r="K12" s="608"/>
      <c r="L12" s="609"/>
      <c r="M12" s="14"/>
      <c r="N12" s="14"/>
      <c r="O12" s="10" t="s">
        <v>193</v>
      </c>
      <c r="P12" s="10" t="s">
        <v>194</v>
      </c>
    </row>
    <row r="13" spans="1:16" s="9" customFormat="1" x14ac:dyDescent="0.25">
      <c r="A13" s="13"/>
      <c r="B13" s="730" t="str">
        <f>IF(Intro!$G$21="English",O13,P13)</f>
        <v xml:space="preserve">• Indiquez seulement les ventes effectuées à partir de la production de votre entreprise au Canada. Les ventes de marchandises achetées auprès d’autres producteurs canadiens doivent être exclues. </v>
      </c>
      <c r="C13" s="731"/>
      <c r="D13" s="731"/>
      <c r="E13" s="731"/>
      <c r="F13" s="731"/>
      <c r="G13" s="731"/>
      <c r="H13" s="731"/>
      <c r="I13" s="731"/>
      <c r="J13" s="731"/>
      <c r="K13" s="731"/>
      <c r="L13" s="732"/>
      <c r="M13" s="14"/>
      <c r="N13" s="14"/>
      <c r="O13" s="10" t="s">
        <v>663</v>
      </c>
      <c r="P13" s="10" t="s">
        <v>664</v>
      </c>
    </row>
    <row r="14" spans="1:16" s="9" customFormat="1" x14ac:dyDescent="0.25">
      <c r="A14" s="13"/>
      <c r="B14" s="607" t="str">
        <f>IF(Intro!$G$21="English",O14,P14)</f>
        <v>• Déclarez toutes les ventes aux entreprises associées canadiennes et étrangères.</v>
      </c>
      <c r="C14" s="608"/>
      <c r="D14" s="608"/>
      <c r="E14" s="608"/>
      <c r="F14" s="608"/>
      <c r="G14" s="608"/>
      <c r="H14" s="608"/>
      <c r="I14" s="608"/>
      <c r="J14" s="608"/>
      <c r="K14" s="608"/>
      <c r="L14" s="609"/>
      <c r="M14" s="14"/>
      <c r="N14" s="14"/>
      <c r="O14" s="10" t="s">
        <v>585</v>
      </c>
      <c r="P14" s="10" t="s">
        <v>588</v>
      </c>
    </row>
    <row r="15" spans="1:16" s="9" customFormat="1" x14ac:dyDescent="0.25">
      <c r="A15" s="13"/>
      <c r="B15" s="607" t="str">
        <f>IF(Intro!$G$21="English",O15,P15)</f>
        <v>• Déclarez toutes les ventes à compter de la date de l’expédition au client ou à son entrepôt.</v>
      </c>
      <c r="C15" s="608"/>
      <c r="D15" s="608"/>
      <c r="E15" s="608"/>
      <c r="F15" s="608"/>
      <c r="G15" s="608"/>
      <c r="H15" s="608"/>
      <c r="I15" s="608"/>
      <c r="J15" s="608"/>
      <c r="K15" s="608"/>
      <c r="L15" s="609"/>
      <c r="M15" s="14"/>
      <c r="N15" s="14"/>
      <c r="O15" s="10" t="s">
        <v>586</v>
      </c>
      <c r="P15" s="10" t="s">
        <v>589</v>
      </c>
    </row>
    <row r="16" spans="1:16" s="9" customFormat="1" x14ac:dyDescent="0.25">
      <c r="A16" s="13"/>
      <c r="B16" s="610" t="str">
        <f>IF(Intro!$G$21="English",O16,P16)</f>
        <v>• Déclarez toutes les valeurs en dollars canadiens (CAD).</v>
      </c>
      <c r="C16" s="611"/>
      <c r="D16" s="611"/>
      <c r="E16" s="611"/>
      <c r="F16" s="611"/>
      <c r="G16" s="611"/>
      <c r="H16" s="611"/>
      <c r="I16" s="611"/>
      <c r="J16" s="611"/>
      <c r="K16" s="611"/>
      <c r="L16" s="612"/>
      <c r="M16" s="14"/>
      <c r="N16" s="14"/>
      <c r="O16" s="10" t="s">
        <v>587</v>
      </c>
      <c r="P16" s="10" t="s">
        <v>590</v>
      </c>
    </row>
    <row r="17" spans="1:16" s="9" customFormat="1" x14ac:dyDescent="0.25">
      <c r="A17" s="13"/>
      <c r="B17" s="22"/>
      <c r="C17" s="22"/>
      <c r="D17" s="22"/>
      <c r="E17" s="23"/>
      <c r="F17" s="23"/>
      <c r="G17" s="23"/>
      <c r="H17" s="23"/>
      <c r="I17" s="23"/>
      <c r="J17" s="23"/>
      <c r="K17" s="23"/>
      <c r="L17" s="23"/>
      <c r="O17" s="10"/>
      <c r="P17" s="10"/>
    </row>
    <row r="18" spans="1:16" x14ac:dyDescent="0.25">
      <c r="B18" s="453" t="str">
        <f>IF(Intro!$G$21="English",O18,P18)</f>
        <v>VENTES ET STOCKS</v>
      </c>
      <c r="C18" s="454"/>
      <c r="D18" s="454"/>
      <c r="E18" s="454"/>
      <c r="F18" s="454"/>
      <c r="G18" s="454"/>
      <c r="H18" s="454"/>
      <c r="I18" s="454"/>
      <c r="J18" s="454"/>
      <c r="K18" s="454"/>
      <c r="L18" s="455"/>
      <c r="M18" s="2"/>
      <c r="O18" s="199" t="s">
        <v>659</v>
      </c>
      <c r="P18" s="199" t="s">
        <v>660</v>
      </c>
    </row>
    <row r="19" spans="1:16" x14ac:dyDescent="0.25">
      <c r="B19" s="592" t="s">
        <v>20</v>
      </c>
      <c r="C19" s="593"/>
      <c r="D19" s="593"/>
      <c r="E19" s="593"/>
      <c r="F19" s="593"/>
      <c r="G19" s="593"/>
      <c r="H19" s="593"/>
      <c r="I19" s="593"/>
      <c r="J19" s="593"/>
      <c r="K19" s="593"/>
      <c r="L19" s="594"/>
      <c r="M19" s="2"/>
    </row>
    <row r="20" spans="1:16" x14ac:dyDescent="0.25">
      <c r="B20" s="24"/>
      <c r="C20" s="25"/>
      <c r="D20" s="25"/>
      <c r="E20" s="26"/>
      <c r="F20" s="26"/>
      <c r="G20" s="26"/>
      <c r="H20" s="26"/>
      <c r="I20" s="26"/>
      <c r="J20" s="26"/>
      <c r="K20" s="26"/>
      <c r="L20" s="27"/>
      <c r="M20" s="2"/>
    </row>
    <row r="21" spans="1:16" x14ac:dyDescent="0.25">
      <c r="B21" s="456" t="str">
        <f>IF(Intro!$G$21="English",O21,P21)</f>
        <v>Remplir le tableau suivant pour les ventes et les stocks des marchandises par votre entreprise.</v>
      </c>
      <c r="C21" s="457"/>
      <c r="D21" s="457"/>
      <c r="E21" s="457"/>
      <c r="F21" s="457"/>
      <c r="G21" s="457"/>
      <c r="H21" s="457"/>
      <c r="I21" s="457"/>
      <c r="J21" s="457"/>
      <c r="K21" s="457"/>
      <c r="L21" s="458"/>
      <c r="M21" s="2"/>
      <c r="O21" s="11" t="s">
        <v>192</v>
      </c>
      <c r="P21" s="2" t="s">
        <v>695</v>
      </c>
    </row>
    <row r="22" spans="1:16" x14ac:dyDescent="0.25">
      <c r="B22" s="159"/>
      <c r="C22" s="160"/>
      <c r="D22" s="25"/>
      <c r="E22" s="26"/>
      <c r="F22" s="26"/>
      <c r="G22" s="26"/>
      <c r="H22" s="26"/>
      <c r="I22" s="26"/>
      <c r="J22" s="26"/>
      <c r="K22" s="26"/>
      <c r="L22" s="27"/>
      <c r="M22" s="2"/>
      <c r="O22" s="11"/>
    </row>
    <row r="23" spans="1:16" x14ac:dyDescent="0.25">
      <c r="B23" s="159"/>
      <c r="C23" s="160"/>
      <c r="D23" s="25"/>
      <c r="E23" s="2"/>
      <c r="F23" s="2"/>
      <c r="G23" s="707">
        <f>Variables!$B$6</f>
        <v>2023</v>
      </c>
      <c r="H23" s="707">
        <f>G23+1</f>
        <v>2024</v>
      </c>
      <c r="I23" s="707">
        <f>H23+1</f>
        <v>2025</v>
      </c>
      <c r="J23" s="707" t="str">
        <f>IF(Intro!$G$21="English",Variables!B9,Variables!C9)</f>
        <v>janv- mars 2025</v>
      </c>
      <c r="K23" s="663" t="str">
        <f>IF(Intro!$G$21="English",Variables!B10,Variables!C10)</f>
        <v>janv- mars 2026</v>
      </c>
      <c r="L23" s="283"/>
      <c r="M23" s="2"/>
      <c r="O23" s="11"/>
    </row>
    <row r="24" spans="1:16" ht="15" thickBot="1" x14ac:dyDescent="0.3">
      <c r="B24" s="159"/>
      <c r="C24" s="160"/>
      <c r="D24" s="25"/>
      <c r="E24" s="2"/>
      <c r="F24" s="2"/>
      <c r="G24" s="733"/>
      <c r="H24" s="733"/>
      <c r="I24" s="733"/>
      <c r="J24" s="733"/>
      <c r="K24" s="707"/>
      <c r="L24" s="283"/>
      <c r="M24" s="2"/>
      <c r="O24" s="11"/>
    </row>
    <row r="25" spans="1:16" x14ac:dyDescent="0.25">
      <c r="B25" s="711" t="str">
        <f>IF(Intro!$G$21="English",O25,P25)</f>
        <v>Stock d'ouverture - ne pas inclure la production utilisée à l'interne ou destinée à la transformation ultérieure à l’interne</v>
      </c>
      <c r="C25" s="712"/>
      <c r="D25" s="712"/>
      <c r="E25" s="709" t="str">
        <f>IF(Intro!$G$21="English",Variables!$B$23,Variables!$C$23)</f>
        <v>tonnes</v>
      </c>
      <c r="F25" s="710"/>
      <c r="G25" s="272"/>
      <c r="H25" s="273">
        <f t="shared" ref="H25:I25" si="0">G40</f>
        <v>0</v>
      </c>
      <c r="I25" s="273">
        <f t="shared" si="0"/>
        <v>0</v>
      </c>
      <c r="J25" s="273">
        <f>H40</f>
        <v>0</v>
      </c>
      <c r="K25" s="273">
        <f>I40</f>
        <v>0</v>
      </c>
      <c r="L25" s="283"/>
      <c r="M25" s="2"/>
      <c r="O25" s="2" t="s">
        <v>782</v>
      </c>
      <c r="P25" s="2" t="s">
        <v>783</v>
      </c>
    </row>
    <row r="26" spans="1:16" x14ac:dyDescent="0.25">
      <c r="B26" s="713"/>
      <c r="C26" s="714"/>
      <c r="D26" s="714"/>
      <c r="E26" s="700" t="s">
        <v>563</v>
      </c>
      <c r="F26" s="701"/>
      <c r="G26" s="274"/>
      <c r="H26" s="275">
        <f t="shared" ref="H26:I26" si="1">G41</f>
        <v>0</v>
      </c>
      <c r="I26" s="275">
        <f t="shared" si="1"/>
        <v>0</v>
      </c>
      <c r="J26" s="275">
        <f>H41</f>
        <v>0</v>
      </c>
      <c r="K26" s="275">
        <f>I41</f>
        <v>0</v>
      </c>
      <c r="L26" s="283"/>
      <c r="M26" s="2"/>
    </row>
    <row r="27" spans="1:16" ht="15" thickBot="1" x14ac:dyDescent="0.3">
      <c r="B27" s="715"/>
      <c r="C27" s="716"/>
      <c r="D27" s="716"/>
      <c r="E27" s="702" t="str">
        <f>"$ / "&amp;IF(Intro!$G$21="English",Variables!$B$24,Variables!$C$24)</f>
        <v>$ / tonne</v>
      </c>
      <c r="F27" s="703"/>
      <c r="G27" s="276" t="str">
        <f t="shared" ref="G27:I27" si="2">IF(G25=0,"-",G26/G25)</f>
        <v>-</v>
      </c>
      <c r="H27" s="276" t="str">
        <f t="shared" si="2"/>
        <v>-</v>
      </c>
      <c r="I27" s="276" t="str">
        <f t="shared" si="2"/>
        <v>-</v>
      </c>
      <c r="J27" s="276" t="str">
        <f t="shared" ref="J27:K27" si="3">IF(J25=0,"-",J26/J25)</f>
        <v>-</v>
      </c>
      <c r="K27" s="276" t="str">
        <f t="shared" si="3"/>
        <v>-</v>
      </c>
      <c r="L27" s="283"/>
      <c r="M27" s="2"/>
    </row>
    <row r="28" spans="1:16" x14ac:dyDescent="0.25">
      <c r="B28" s="711" t="str">
        <f>IF(Intro!$G$21="English",O28,P28)</f>
        <v>Ventes aux revendeurs / distributeurs au Canada</v>
      </c>
      <c r="C28" s="717"/>
      <c r="D28" s="717"/>
      <c r="E28" s="709" t="str">
        <f>IF(Intro!$G$21="English",Variables!$B$23,Variables!$C$23)</f>
        <v>tonnes</v>
      </c>
      <c r="F28" s="710"/>
      <c r="G28" s="272"/>
      <c r="H28" s="272"/>
      <c r="I28" s="272"/>
      <c r="J28" s="272"/>
      <c r="K28" s="272"/>
      <c r="L28" s="283"/>
      <c r="M28" s="2"/>
      <c r="O28" s="2" t="str">
        <f>"Sales to "&amp;Variables!$B$26&amp;" in Canada"</f>
        <v>Sales to dealers / distributors in Canada</v>
      </c>
      <c r="P28" s="2" t="str">
        <f>"Ventes aux "&amp;Variables!$C$26&amp;" au Canada"</f>
        <v>Ventes aux revendeurs / distributeurs au Canada</v>
      </c>
    </row>
    <row r="29" spans="1:16" x14ac:dyDescent="0.25">
      <c r="B29" s="713"/>
      <c r="C29" s="718"/>
      <c r="D29" s="718"/>
      <c r="E29" s="700" t="str">
        <f>IF(Intro!G$21="English","net delivered selling value (CAD)","valeur de vente nette rendue (CAD)")</f>
        <v>valeur de vente nette rendue (CAD)</v>
      </c>
      <c r="F29" s="701"/>
      <c r="G29" s="274"/>
      <c r="H29" s="274"/>
      <c r="I29" s="274"/>
      <c r="J29" s="274"/>
      <c r="K29" s="274"/>
      <c r="L29" s="283"/>
      <c r="M29" s="2"/>
    </row>
    <row r="30" spans="1:16" ht="15" thickBot="1" x14ac:dyDescent="0.3">
      <c r="B30" s="715"/>
      <c r="C30" s="719"/>
      <c r="D30" s="719"/>
      <c r="E30" s="702" t="str">
        <f>"$ / "&amp;IF(Intro!$G$21="English",Variables!$B$24,Variables!$C$24)</f>
        <v>$ / tonne</v>
      </c>
      <c r="F30" s="703"/>
      <c r="G30" s="276" t="str">
        <f t="shared" ref="G30:I30" si="4">IF(G28=0,"-",G29/G28)</f>
        <v>-</v>
      </c>
      <c r="H30" s="276" t="str">
        <f t="shared" si="4"/>
        <v>-</v>
      </c>
      <c r="I30" s="276" t="str">
        <f t="shared" si="4"/>
        <v>-</v>
      </c>
      <c r="J30" s="276" t="str">
        <f t="shared" ref="J30:K30" si="5">IF(J28=0,"-",J29/J28)</f>
        <v>-</v>
      </c>
      <c r="K30" s="276" t="str">
        <f t="shared" si="5"/>
        <v>-</v>
      </c>
      <c r="L30" s="283"/>
      <c r="M30" s="2"/>
    </row>
    <row r="31" spans="1:16" x14ac:dyDescent="0.25">
      <c r="B31" s="711" t="str">
        <f>IF(Intro!$G$21="English",O31,P31)</f>
        <v>Ventes aux utilisateurs finals au Canada</v>
      </c>
      <c r="C31" s="717"/>
      <c r="D31" s="717"/>
      <c r="E31" s="709" t="str">
        <f>IF(Intro!$G$21="English",Variables!$B$23,Variables!$C$23)</f>
        <v>tonnes</v>
      </c>
      <c r="F31" s="710"/>
      <c r="G31" s="272"/>
      <c r="H31" s="272"/>
      <c r="I31" s="272"/>
      <c r="J31" s="272"/>
      <c r="K31" s="272"/>
      <c r="L31" s="283"/>
      <c r="M31" s="2"/>
      <c r="O31" s="2" t="str">
        <f>"Sales to "&amp;Variables!$B$27&amp;" in Canada"</f>
        <v>Sales to end users in Canada</v>
      </c>
      <c r="P31" s="2" t="str">
        <f>"Ventes aux "&amp;Variables!$C$27&amp;" au Canada"</f>
        <v>Ventes aux utilisateurs finals au Canada</v>
      </c>
    </row>
    <row r="32" spans="1:16" x14ac:dyDescent="0.25">
      <c r="B32" s="713"/>
      <c r="C32" s="718"/>
      <c r="D32" s="718"/>
      <c r="E32" s="700" t="str">
        <f>IF(Intro!G$21="English","net delivered selling value (CAD)","valeur de vente nette rendue (CAD)")</f>
        <v>valeur de vente nette rendue (CAD)</v>
      </c>
      <c r="F32" s="701"/>
      <c r="G32" s="274"/>
      <c r="H32" s="274"/>
      <c r="I32" s="274"/>
      <c r="J32" s="274"/>
      <c r="K32" s="274"/>
      <c r="L32" s="283"/>
      <c r="M32" s="2"/>
    </row>
    <row r="33" spans="1:16" ht="15" thickBot="1" x14ac:dyDescent="0.3">
      <c r="B33" s="715"/>
      <c r="C33" s="719"/>
      <c r="D33" s="719"/>
      <c r="E33" s="702" t="str">
        <f>"$ / "&amp;IF(Intro!$G$21="English",Variables!$B$24,Variables!$C$24)</f>
        <v>$ / tonne</v>
      </c>
      <c r="F33" s="703"/>
      <c r="G33" s="276" t="str">
        <f t="shared" ref="G33:I33" si="6">IF(G31=0,"-",G32/G31)</f>
        <v>-</v>
      </c>
      <c r="H33" s="276" t="str">
        <f t="shared" si="6"/>
        <v>-</v>
      </c>
      <c r="I33" s="276" t="str">
        <f t="shared" si="6"/>
        <v>-</v>
      </c>
      <c r="J33" s="276" t="str">
        <f t="shared" ref="J33:K33" si="7">IF(J31=0,"-",J32/J31)</f>
        <v>-</v>
      </c>
      <c r="K33" s="276" t="str">
        <f t="shared" si="7"/>
        <v>-</v>
      </c>
      <c r="L33" s="283"/>
      <c r="M33" s="2"/>
    </row>
    <row r="34" spans="1:16" x14ac:dyDescent="0.25">
      <c r="B34" s="722" t="str">
        <f>IF(Intro!$G$21="English",O34,P34)</f>
        <v>Ventes totales au Canada</v>
      </c>
      <c r="C34" s="723"/>
      <c r="D34" s="723"/>
      <c r="E34" s="709" t="str">
        <f>IF(Intro!$G$21="English",Variables!$B$23,Variables!$C$23)</f>
        <v>tonnes</v>
      </c>
      <c r="F34" s="710"/>
      <c r="G34" s="273">
        <f>G28+G31</f>
        <v>0</v>
      </c>
      <c r="H34" s="273">
        <f t="shared" ref="H34:K35" si="8">H28+H31</f>
        <v>0</v>
      </c>
      <c r="I34" s="273">
        <f t="shared" si="8"/>
        <v>0</v>
      </c>
      <c r="J34" s="273">
        <f t="shared" si="8"/>
        <v>0</v>
      </c>
      <c r="K34" s="273">
        <f t="shared" si="8"/>
        <v>0</v>
      </c>
      <c r="L34" s="283"/>
      <c r="M34" s="2"/>
      <c r="O34" s="2" t="s">
        <v>833</v>
      </c>
      <c r="P34" s="2" t="s">
        <v>834</v>
      </c>
    </row>
    <row r="35" spans="1:16" x14ac:dyDescent="0.25">
      <c r="B35" s="713"/>
      <c r="C35" s="718"/>
      <c r="D35" s="718"/>
      <c r="E35" s="700" t="str">
        <f>IF(Intro!G$21="English","net delivered selling value (CAD)","valeur de vente nette rendue (CAD)")</f>
        <v>valeur de vente nette rendue (CAD)</v>
      </c>
      <c r="F35" s="701"/>
      <c r="G35" s="275">
        <f>G29+G32</f>
        <v>0</v>
      </c>
      <c r="H35" s="275">
        <f t="shared" si="8"/>
        <v>0</v>
      </c>
      <c r="I35" s="275">
        <f t="shared" si="8"/>
        <v>0</v>
      </c>
      <c r="J35" s="275">
        <f t="shared" si="8"/>
        <v>0</v>
      </c>
      <c r="K35" s="275">
        <f t="shared" si="8"/>
        <v>0</v>
      </c>
      <c r="L35" s="283"/>
      <c r="M35" s="2"/>
    </row>
    <row r="36" spans="1:16" ht="15" thickBot="1" x14ac:dyDescent="0.3">
      <c r="B36" s="715"/>
      <c r="C36" s="719"/>
      <c r="D36" s="719"/>
      <c r="E36" s="702" t="str">
        <f>"$ / "&amp;IF(Intro!$G$21="English",Variables!$B$24,Variables!$C$24)</f>
        <v>$ / tonne</v>
      </c>
      <c r="F36" s="703"/>
      <c r="G36" s="301" t="str">
        <f>IF(G34=0,"-",G35/G34)</f>
        <v>-</v>
      </c>
      <c r="H36" s="301" t="str">
        <f>IF(H34=0,"-",H35/H34)</f>
        <v>-</v>
      </c>
      <c r="I36" s="301" t="str">
        <f>IF(I34=0,"-",I35/I34)</f>
        <v>-</v>
      </c>
      <c r="J36" s="301" t="str">
        <f>IF(J34=0,"-",J35/J34)</f>
        <v>-</v>
      </c>
      <c r="K36" s="301" t="str">
        <f>IF(K34=0,"-",K35/K34)</f>
        <v>-</v>
      </c>
      <c r="L36" s="283"/>
      <c r="M36" s="2"/>
    </row>
    <row r="37" spans="1:16" x14ac:dyDescent="0.25">
      <c r="B37" s="722" t="str">
        <f>IF(Intro!$G$21="English",O37,P37)</f>
        <v>Ventes à l'exportation</v>
      </c>
      <c r="C37" s="723"/>
      <c r="D37" s="723"/>
      <c r="E37" s="709" t="str">
        <f>IF(Intro!$G$21="English",Variables!$B$23,Variables!$C$23)</f>
        <v>tonnes</v>
      </c>
      <c r="F37" s="710"/>
      <c r="G37" s="277"/>
      <c r="H37" s="277"/>
      <c r="I37" s="277"/>
      <c r="J37" s="277"/>
      <c r="K37" s="277"/>
      <c r="L37" s="283"/>
      <c r="M37" s="2"/>
      <c r="O37" s="2" t="s">
        <v>569</v>
      </c>
      <c r="P37" s="2" t="s">
        <v>42</v>
      </c>
    </row>
    <row r="38" spans="1:16" x14ac:dyDescent="0.25">
      <c r="B38" s="713"/>
      <c r="C38" s="718"/>
      <c r="D38" s="718"/>
      <c r="E38" s="700" t="str">
        <f>IF(Intro!G$21="English","net delivered selling value (CAD)","valeur de vente nette rendue (CAD)")</f>
        <v>valeur de vente nette rendue (CAD)</v>
      </c>
      <c r="F38" s="701"/>
      <c r="G38" s="274"/>
      <c r="H38" s="274"/>
      <c r="I38" s="274"/>
      <c r="J38" s="274"/>
      <c r="K38" s="274"/>
      <c r="L38" s="283"/>
      <c r="M38" s="2"/>
    </row>
    <row r="39" spans="1:16" ht="15" thickBot="1" x14ac:dyDescent="0.3">
      <c r="B39" s="715"/>
      <c r="C39" s="719"/>
      <c r="D39" s="719"/>
      <c r="E39" s="702" t="str">
        <f>"$ / "&amp;IF(Intro!$G$21="English",Variables!$B$24,Variables!$C$24)</f>
        <v>$ / tonne</v>
      </c>
      <c r="F39" s="703"/>
      <c r="G39" s="276" t="str">
        <f t="shared" ref="G39:I39" si="9">IF(G37=0,"-",G38/G37)</f>
        <v>-</v>
      </c>
      <c r="H39" s="276" t="str">
        <f t="shared" si="9"/>
        <v>-</v>
      </c>
      <c r="I39" s="276" t="str">
        <f t="shared" si="9"/>
        <v>-</v>
      </c>
      <c r="J39" s="276" t="str">
        <f t="shared" ref="J39:K39" si="10">IF(J37=0,"-",J38/J37)</f>
        <v>-</v>
      </c>
      <c r="K39" s="276" t="str">
        <f t="shared" si="10"/>
        <v>-</v>
      </c>
      <c r="L39" s="283"/>
      <c r="M39" s="2"/>
    </row>
    <row r="40" spans="1:16" x14ac:dyDescent="0.25">
      <c r="B40" s="722" t="str">
        <f>IF(Intro!$G$21="English",O40,P40)</f>
        <v>Stock de clôture - ne pas inclure la production utilisée à l'interne ou destinée à la transformation ultérieure à l’interne</v>
      </c>
      <c r="C40" s="723"/>
      <c r="D40" s="723"/>
      <c r="E40" s="709" t="str">
        <f>IF(Intro!$G$21="English",Variables!$B$23,Variables!$C$23)</f>
        <v>tonnes</v>
      </c>
      <c r="F40" s="710"/>
      <c r="G40" s="277"/>
      <c r="H40" s="277"/>
      <c r="I40" s="277"/>
      <c r="J40" s="277"/>
      <c r="K40" s="277"/>
      <c r="L40" s="283"/>
      <c r="M40" s="2"/>
      <c r="O40" s="2" t="s">
        <v>784</v>
      </c>
      <c r="P40" s="2" t="s">
        <v>785</v>
      </c>
    </row>
    <row r="41" spans="1:16" x14ac:dyDescent="0.25">
      <c r="B41" s="713"/>
      <c r="C41" s="718"/>
      <c r="D41" s="718"/>
      <c r="E41" s="700" t="s">
        <v>563</v>
      </c>
      <c r="F41" s="701"/>
      <c r="G41" s="274"/>
      <c r="H41" s="274"/>
      <c r="I41" s="274"/>
      <c r="J41" s="274"/>
      <c r="K41" s="274"/>
      <c r="L41" s="283"/>
      <c r="M41" s="2"/>
    </row>
    <row r="42" spans="1:16" ht="15" thickBot="1" x14ac:dyDescent="0.3">
      <c r="B42" s="715"/>
      <c r="C42" s="719"/>
      <c r="D42" s="719"/>
      <c r="E42" s="702" t="str">
        <f>"$ / "&amp;IF(Intro!$G$21="English",Variables!$B$24,Variables!$C$24)</f>
        <v>$ / tonne</v>
      </c>
      <c r="F42" s="703"/>
      <c r="G42" s="276" t="str">
        <f t="shared" ref="G42:I42" si="11">IF(G40=0,"-",G41/G40)</f>
        <v>-</v>
      </c>
      <c r="H42" s="276" t="str">
        <f t="shared" si="11"/>
        <v>-</v>
      </c>
      <c r="I42" s="276" t="str">
        <f t="shared" si="11"/>
        <v>-</v>
      </c>
      <c r="J42" s="276" t="str">
        <f t="shared" ref="J42:K42" si="12">IF(J40=0,"-",J41/J40)</f>
        <v>-</v>
      </c>
      <c r="K42" s="276" t="str">
        <f t="shared" si="12"/>
        <v>-</v>
      </c>
      <c r="L42" s="283"/>
      <c r="M42" s="2"/>
    </row>
    <row r="43" spans="1:16" x14ac:dyDescent="0.25">
      <c r="B43" s="176"/>
      <c r="C43" s="177"/>
      <c r="D43" s="177"/>
      <c r="E43" s="177"/>
      <c r="F43" s="177"/>
      <c r="G43" s="177"/>
      <c r="H43" s="177"/>
      <c r="I43" s="177"/>
      <c r="J43" s="177"/>
      <c r="K43" s="177"/>
      <c r="L43" s="178"/>
      <c r="M43" s="2"/>
    </row>
    <row r="44" spans="1:16" s="3" customFormat="1" x14ac:dyDescent="0.25">
      <c r="A44" s="12"/>
      <c r="B44" s="585" t="s">
        <v>21</v>
      </c>
      <c r="C44" s="586"/>
      <c r="D44" s="586"/>
      <c r="E44" s="586"/>
      <c r="F44" s="586"/>
      <c r="G44" s="586"/>
      <c r="H44" s="586"/>
      <c r="I44" s="586"/>
      <c r="J44" s="586"/>
      <c r="K44" s="586"/>
      <c r="L44" s="587"/>
      <c r="M44" s="168"/>
      <c r="O44" s="2"/>
    </row>
    <row r="45" spans="1:16" x14ac:dyDescent="0.25">
      <c r="B45" s="170"/>
      <c r="C45" s="171"/>
      <c r="D45" s="171"/>
      <c r="E45" s="171"/>
      <c r="F45" s="171"/>
      <c r="G45" s="171"/>
      <c r="H45" s="171"/>
      <c r="I45" s="171"/>
      <c r="J45" s="171"/>
      <c r="K45" s="171"/>
      <c r="L45" s="172"/>
      <c r="M45" s="2"/>
    </row>
    <row r="46" spans="1:16" ht="15" x14ac:dyDescent="0.25">
      <c r="B46" s="475" t="str">
        <f>IF(Intro!$G$21="English",O46,P46)</f>
        <v>En utilisant les données fournies à la question 1 des onglets Pro 1 et Pro 2, le questionnaire calcule le stock de clôture comme suit :</v>
      </c>
      <c r="C46" s="476"/>
      <c r="D46" s="476"/>
      <c r="E46" s="476"/>
      <c r="F46" s="476"/>
      <c r="G46" s="476"/>
      <c r="H46" s="476"/>
      <c r="I46" s="476"/>
      <c r="J46" s="476"/>
      <c r="K46" s="476"/>
      <c r="L46" s="477"/>
      <c r="M46" s="2"/>
      <c r="O46" t="s">
        <v>742</v>
      </c>
      <c r="P46" s="2" t="s">
        <v>743</v>
      </c>
    </row>
    <row r="47" spans="1:16" x14ac:dyDescent="0.25">
      <c r="B47" s="475"/>
      <c r="C47" s="476"/>
      <c r="D47" s="476"/>
      <c r="E47" s="476"/>
      <c r="F47" s="476"/>
      <c r="G47" s="476"/>
      <c r="H47" s="476"/>
      <c r="I47" s="476"/>
      <c r="J47" s="476"/>
      <c r="K47" s="476"/>
      <c r="L47" s="477"/>
      <c r="M47" s="2"/>
    </row>
    <row r="48" spans="1:16" x14ac:dyDescent="0.25">
      <c r="B48" s="159"/>
      <c r="C48" s="160"/>
      <c r="D48" s="25"/>
      <c r="E48" s="2"/>
      <c r="F48" s="2"/>
      <c r="G48" s="707">
        <f>Variables!$B$6</f>
        <v>2023</v>
      </c>
      <c r="H48" s="707">
        <f>G48+1</f>
        <v>2024</v>
      </c>
      <c r="I48" s="707">
        <f>H48+1</f>
        <v>2025</v>
      </c>
      <c r="J48" s="707" t="str">
        <f>J23</f>
        <v>janv- mars 2025</v>
      </c>
      <c r="K48" s="707" t="str">
        <f>K23</f>
        <v>janv- mars 2026</v>
      </c>
      <c r="L48" s="283"/>
      <c r="M48" s="2"/>
      <c r="O48" s="11"/>
    </row>
    <row r="49" spans="1:16" x14ac:dyDescent="0.25">
      <c r="B49" s="159"/>
      <c r="C49" s="160"/>
      <c r="D49" s="25"/>
      <c r="E49" s="2"/>
      <c r="F49" s="2"/>
      <c r="G49" s="708"/>
      <c r="H49" s="708"/>
      <c r="I49" s="708"/>
      <c r="J49" s="708"/>
      <c r="K49" s="708"/>
      <c r="L49" s="283"/>
      <c r="M49" s="2"/>
      <c r="O49" s="11"/>
    </row>
    <row r="50" spans="1:16" ht="14.1" customHeight="1" x14ac:dyDescent="0.25">
      <c r="B50" s="736"/>
      <c r="C50" s="737"/>
      <c r="D50" s="737"/>
      <c r="E50" s="737"/>
      <c r="F50" s="309" t="str">
        <f>IF(Intro!$G$21="English",Variables!$B$23,Variables!$C$23)</f>
        <v>tonnes</v>
      </c>
      <c r="G50" s="278">
        <f>G25+'Pro 1'!G24-'Pro 1'!G23-G34-G37</f>
        <v>0</v>
      </c>
      <c r="H50" s="278">
        <f>H25+'Pro 1'!H24-'Pro 1'!H23-H34-H37</f>
        <v>0</v>
      </c>
      <c r="I50" s="278">
        <f>I25+'Pro 1'!I24-'Pro 1'!I23-I34-I37</f>
        <v>0</v>
      </c>
      <c r="J50" s="278">
        <f>J25+'Pro 1'!J24-'Pro 1'!J23-J34-J37</f>
        <v>0</v>
      </c>
      <c r="K50" s="278">
        <f>K25+'Pro 1'!K24-'Pro 1'!K23-K34-K37</f>
        <v>0</v>
      </c>
      <c r="L50" s="283"/>
      <c r="M50" s="2"/>
      <c r="O50" s="2" t="s">
        <v>825</v>
      </c>
      <c r="P50" s="2" t="s">
        <v>826</v>
      </c>
    </row>
    <row r="51" spans="1:16" x14ac:dyDescent="0.25">
      <c r="B51" s="724" t="str">
        <f>IF(Intro!$G$21="English",O51,P51)</f>
        <v>Différence entre le stock de clôture déclaré à la question 1 ci-dessus et le stock de clôture calculé</v>
      </c>
      <c r="C51" s="725"/>
      <c r="D51" s="725"/>
      <c r="E51" s="726"/>
      <c r="F51" s="738" t="str">
        <f>IF(Intro!$G$21="English",Variables!$B$23,Variables!$C$23)</f>
        <v>tonnes</v>
      </c>
      <c r="G51" s="734">
        <f>G40-G50</f>
        <v>0</v>
      </c>
      <c r="H51" s="734">
        <f>H40-H50</f>
        <v>0</v>
      </c>
      <c r="I51" s="734">
        <f>I40-I50</f>
        <v>0</v>
      </c>
      <c r="J51" s="734">
        <f>J40-J50</f>
        <v>0</v>
      </c>
      <c r="K51" s="720">
        <f>K40-K50</f>
        <v>0</v>
      </c>
      <c r="L51" s="283"/>
      <c r="M51" s="2"/>
      <c r="O51" s="2" t="s">
        <v>827</v>
      </c>
      <c r="P51" s="2" t="s">
        <v>828</v>
      </c>
    </row>
    <row r="52" spans="1:16" x14ac:dyDescent="0.25">
      <c r="B52" s="727"/>
      <c r="C52" s="728"/>
      <c r="D52" s="728"/>
      <c r="E52" s="729"/>
      <c r="F52" s="739"/>
      <c r="G52" s="735"/>
      <c r="H52" s="735"/>
      <c r="I52" s="735"/>
      <c r="J52" s="735"/>
      <c r="K52" s="721"/>
      <c r="L52" s="283"/>
      <c r="M52" s="2"/>
    </row>
    <row r="53" spans="1:16" x14ac:dyDescent="0.25">
      <c r="B53" s="170"/>
      <c r="C53" s="171"/>
      <c r="D53" s="171"/>
      <c r="E53" s="171"/>
      <c r="F53" s="171"/>
      <c r="G53" s="171"/>
      <c r="H53" s="171"/>
      <c r="I53" s="171"/>
      <c r="J53" s="171"/>
      <c r="K53" s="171"/>
      <c r="L53" s="172"/>
      <c r="M53" s="2"/>
    </row>
    <row r="54" spans="1:16" x14ac:dyDescent="0.25">
      <c r="B54" s="579" t="str">
        <f>IF(Intro!$G$21="English",O54,P54)</f>
        <v>Si le volume du stock de clôture à la question 1 sur l'onglet Pro 2 diffère du stock de clôture calculé, expliquez pourquoi il y a une différence.</v>
      </c>
      <c r="C54" s="580"/>
      <c r="D54" s="580"/>
      <c r="E54" s="580"/>
      <c r="F54" s="580"/>
      <c r="G54" s="580"/>
      <c r="H54" s="580"/>
      <c r="I54" s="580"/>
      <c r="J54" s="580"/>
      <c r="K54" s="580"/>
      <c r="L54" s="581"/>
      <c r="M54" s="2"/>
      <c r="O54" s="16" t="s">
        <v>357</v>
      </c>
      <c r="P54" s="2" t="s">
        <v>703</v>
      </c>
    </row>
    <row r="55" spans="1:16" x14ac:dyDescent="0.25">
      <c r="B55" s="170"/>
      <c r="C55" s="171"/>
      <c r="D55" s="171"/>
      <c r="E55" s="171"/>
      <c r="F55" s="171"/>
      <c r="G55" s="171"/>
      <c r="H55" s="171"/>
      <c r="I55" s="171"/>
      <c r="J55" s="171"/>
      <c r="K55" s="171"/>
      <c r="L55" s="172"/>
      <c r="M55" s="2"/>
    </row>
    <row r="56" spans="1:16" s="3" customFormat="1" x14ac:dyDescent="0.25">
      <c r="A56" s="12"/>
      <c r="B56" s="582"/>
      <c r="C56" s="583"/>
      <c r="D56" s="583"/>
      <c r="E56" s="583"/>
      <c r="F56" s="583"/>
      <c r="G56" s="583"/>
      <c r="H56" s="583"/>
      <c r="I56" s="583"/>
      <c r="J56" s="583"/>
      <c r="K56" s="583"/>
      <c r="L56" s="584"/>
      <c r="M56" s="152"/>
      <c r="O56" s="154"/>
      <c r="P56" s="154"/>
    </row>
    <row r="57" spans="1:16" s="3" customFormat="1" x14ac:dyDescent="0.25">
      <c r="A57" s="12"/>
      <c r="B57" s="582"/>
      <c r="C57" s="583"/>
      <c r="D57" s="583"/>
      <c r="E57" s="583"/>
      <c r="F57" s="583"/>
      <c r="G57" s="583"/>
      <c r="H57" s="583"/>
      <c r="I57" s="583"/>
      <c r="J57" s="583"/>
      <c r="K57" s="583"/>
      <c r="L57" s="584"/>
      <c r="M57" s="152"/>
      <c r="O57" s="154"/>
      <c r="P57" s="154"/>
    </row>
    <row r="58" spans="1:16" s="3" customFormat="1" x14ac:dyDescent="0.25">
      <c r="A58" s="12"/>
      <c r="B58" s="582"/>
      <c r="C58" s="583"/>
      <c r="D58" s="583"/>
      <c r="E58" s="583"/>
      <c r="F58" s="583"/>
      <c r="G58" s="583"/>
      <c r="H58" s="583"/>
      <c r="I58" s="583"/>
      <c r="J58" s="583"/>
      <c r="K58" s="583"/>
      <c r="L58" s="584"/>
      <c r="M58" s="152"/>
      <c r="O58" s="154"/>
      <c r="P58" s="154"/>
    </row>
    <row r="59" spans="1:16" s="3" customFormat="1" x14ac:dyDescent="0.25">
      <c r="A59" s="12"/>
      <c r="B59" s="582"/>
      <c r="C59" s="583"/>
      <c r="D59" s="583"/>
      <c r="E59" s="583"/>
      <c r="F59" s="583"/>
      <c r="G59" s="583"/>
      <c r="H59" s="583"/>
      <c r="I59" s="583"/>
      <c r="J59" s="583"/>
      <c r="K59" s="583"/>
      <c r="L59" s="584"/>
      <c r="M59" s="152"/>
      <c r="O59" s="154"/>
      <c r="P59" s="154"/>
    </row>
    <row r="60" spans="1:16" s="3" customFormat="1" x14ac:dyDescent="0.25">
      <c r="A60" s="12"/>
      <c r="B60" s="582"/>
      <c r="C60" s="583"/>
      <c r="D60" s="583"/>
      <c r="E60" s="583"/>
      <c r="F60" s="583"/>
      <c r="G60" s="583"/>
      <c r="H60" s="583"/>
      <c r="I60" s="583"/>
      <c r="J60" s="583"/>
      <c r="K60" s="583"/>
      <c r="L60" s="584"/>
      <c r="M60" s="152"/>
      <c r="O60" s="154"/>
      <c r="P60" s="154"/>
    </row>
    <row r="61" spans="1:16" s="3" customFormat="1" x14ac:dyDescent="0.25">
      <c r="A61" s="12"/>
      <c r="B61" s="582"/>
      <c r="C61" s="583"/>
      <c r="D61" s="583"/>
      <c r="E61" s="583"/>
      <c r="F61" s="583"/>
      <c r="G61" s="583"/>
      <c r="H61" s="583"/>
      <c r="I61" s="583"/>
      <c r="J61" s="583"/>
      <c r="K61" s="583"/>
      <c r="L61" s="584"/>
      <c r="M61" s="152"/>
      <c r="O61" s="154"/>
      <c r="P61" s="154"/>
    </row>
    <row r="62" spans="1:16" s="3" customFormat="1" x14ac:dyDescent="0.25">
      <c r="A62" s="12"/>
      <c r="B62" s="582"/>
      <c r="C62" s="583"/>
      <c r="D62" s="583"/>
      <c r="E62" s="583"/>
      <c r="F62" s="583"/>
      <c r="G62" s="583"/>
      <c r="H62" s="583"/>
      <c r="I62" s="583"/>
      <c r="J62" s="583"/>
      <c r="K62" s="583"/>
      <c r="L62" s="584"/>
      <c r="M62" s="152"/>
      <c r="O62" s="154"/>
      <c r="P62" s="154"/>
    </row>
    <row r="63" spans="1:16" s="3" customFormat="1" x14ac:dyDescent="0.25">
      <c r="A63" s="12"/>
      <c r="B63" s="582"/>
      <c r="C63" s="583"/>
      <c r="D63" s="583"/>
      <c r="E63" s="583"/>
      <c r="F63" s="583"/>
      <c r="G63" s="583"/>
      <c r="H63" s="583"/>
      <c r="I63" s="583"/>
      <c r="J63" s="583"/>
      <c r="K63" s="583"/>
      <c r="L63" s="584"/>
      <c r="M63" s="152"/>
      <c r="O63" s="154"/>
      <c r="P63" s="154"/>
    </row>
    <row r="64" spans="1:16" x14ac:dyDescent="0.25">
      <c r="B64" s="176"/>
      <c r="C64" s="177"/>
      <c r="D64" s="177"/>
      <c r="E64" s="177"/>
      <c r="F64" s="177"/>
      <c r="G64" s="177"/>
      <c r="H64" s="177"/>
      <c r="I64" s="177"/>
      <c r="J64" s="177"/>
      <c r="K64" s="177"/>
      <c r="L64" s="178"/>
      <c r="M64" s="2"/>
    </row>
    <row r="65" spans="1:16" s="3" customFormat="1" x14ac:dyDescent="0.25">
      <c r="A65" s="12"/>
      <c r="B65" s="585" t="s">
        <v>26</v>
      </c>
      <c r="C65" s="586"/>
      <c r="D65" s="586"/>
      <c r="E65" s="586"/>
      <c r="F65" s="586"/>
      <c r="G65" s="586"/>
      <c r="H65" s="586"/>
      <c r="I65" s="586"/>
      <c r="J65" s="586"/>
      <c r="K65" s="586"/>
      <c r="L65" s="587"/>
      <c r="M65" s="168"/>
    </row>
    <row r="66" spans="1:16" x14ac:dyDescent="0.25">
      <c r="B66" s="170"/>
      <c r="C66" s="171"/>
      <c r="D66" s="171"/>
      <c r="E66" s="171"/>
      <c r="F66" s="171"/>
      <c r="G66" s="171"/>
      <c r="H66" s="171"/>
      <c r="I66" s="171"/>
      <c r="J66" s="171"/>
      <c r="K66" s="171"/>
      <c r="L66" s="172"/>
      <c r="M66" s="2"/>
    </row>
    <row r="67" spans="1:16" x14ac:dyDescent="0.25">
      <c r="B67" s="475" t="str">
        <f>IF(Intro!$G$21="English",O67,P67)</f>
        <v>Décrivez comment votre entreprise détermine la valeur des stocks. Fournissez tout changement dans la méthode d'évaluation des stocks ou toute réduction importante de la valeur comptabilisée des stocks depuis le 1er janvier 2023.</v>
      </c>
      <c r="C67" s="476"/>
      <c r="D67" s="476"/>
      <c r="E67" s="476"/>
      <c r="F67" s="476"/>
      <c r="G67" s="476"/>
      <c r="H67" s="476"/>
      <c r="I67" s="476"/>
      <c r="J67" s="476"/>
      <c r="K67" s="476"/>
      <c r="L67" s="477"/>
      <c r="M67" s="2"/>
      <c r="O67"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7"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8" spans="1:16" x14ac:dyDescent="0.25">
      <c r="B68" s="475"/>
      <c r="C68" s="476"/>
      <c r="D68" s="476"/>
      <c r="E68" s="476"/>
      <c r="F68" s="476"/>
      <c r="G68" s="476"/>
      <c r="H68" s="476"/>
      <c r="I68" s="476"/>
      <c r="J68" s="476"/>
      <c r="K68" s="476"/>
      <c r="L68" s="477"/>
      <c r="M68" s="2"/>
    </row>
    <row r="69" spans="1:16" x14ac:dyDescent="0.25">
      <c r="B69" s="170"/>
      <c r="C69" s="171"/>
      <c r="D69" s="171"/>
      <c r="E69" s="171"/>
      <c r="F69" s="171"/>
      <c r="G69" s="171"/>
      <c r="H69" s="171"/>
      <c r="I69" s="171"/>
      <c r="J69" s="171"/>
      <c r="K69" s="171"/>
      <c r="L69" s="172"/>
      <c r="M69" s="2"/>
    </row>
    <row r="70" spans="1:16" s="3" customFormat="1" x14ac:dyDescent="0.25">
      <c r="A70" s="12"/>
      <c r="B70" s="582"/>
      <c r="C70" s="583"/>
      <c r="D70" s="583"/>
      <c r="E70" s="583"/>
      <c r="F70" s="583"/>
      <c r="G70" s="583"/>
      <c r="H70" s="583"/>
      <c r="I70" s="583"/>
      <c r="J70" s="583"/>
      <c r="K70" s="583"/>
      <c r="L70" s="584"/>
      <c r="M70" s="152"/>
      <c r="O70" s="154"/>
      <c r="P70" s="154"/>
    </row>
    <row r="71" spans="1:16" s="3" customFormat="1" x14ac:dyDescent="0.25">
      <c r="A71" s="12"/>
      <c r="B71" s="582"/>
      <c r="C71" s="583"/>
      <c r="D71" s="583"/>
      <c r="E71" s="583"/>
      <c r="F71" s="583"/>
      <c r="G71" s="583"/>
      <c r="H71" s="583"/>
      <c r="I71" s="583"/>
      <c r="J71" s="583"/>
      <c r="K71" s="583"/>
      <c r="L71" s="584"/>
      <c r="M71" s="152"/>
      <c r="O71" s="154"/>
      <c r="P71" s="154"/>
    </row>
    <row r="72" spans="1:16" s="3" customFormat="1" x14ac:dyDescent="0.25">
      <c r="A72" s="12"/>
      <c r="B72" s="582"/>
      <c r="C72" s="583"/>
      <c r="D72" s="583"/>
      <c r="E72" s="583"/>
      <c r="F72" s="583"/>
      <c r="G72" s="583"/>
      <c r="H72" s="583"/>
      <c r="I72" s="583"/>
      <c r="J72" s="583"/>
      <c r="K72" s="583"/>
      <c r="L72" s="584"/>
      <c r="M72" s="152"/>
      <c r="O72" s="154"/>
      <c r="P72" s="154"/>
    </row>
    <row r="73" spans="1:16" s="3" customFormat="1" x14ac:dyDescent="0.25">
      <c r="A73" s="12"/>
      <c r="B73" s="582"/>
      <c r="C73" s="583"/>
      <c r="D73" s="583"/>
      <c r="E73" s="583"/>
      <c r="F73" s="583"/>
      <c r="G73" s="583"/>
      <c r="H73" s="583"/>
      <c r="I73" s="583"/>
      <c r="J73" s="583"/>
      <c r="K73" s="583"/>
      <c r="L73" s="584"/>
      <c r="M73" s="152"/>
      <c r="O73" s="154"/>
      <c r="P73" s="154"/>
    </row>
    <row r="74" spans="1:16" s="3" customFormat="1" x14ac:dyDescent="0.25">
      <c r="A74" s="12"/>
      <c r="B74" s="582"/>
      <c r="C74" s="583"/>
      <c r="D74" s="583"/>
      <c r="E74" s="583"/>
      <c r="F74" s="583"/>
      <c r="G74" s="583"/>
      <c r="H74" s="583"/>
      <c r="I74" s="583"/>
      <c r="J74" s="583"/>
      <c r="K74" s="583"/>
      <c r="L74" s="584"/>
      <c r="M74" s="152"/>
      <c r="O74" s="154"/>
      <c r="P74" s="154"/>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x14ac:dyDescent="0.25">
      <c r="B78" s="176"/>
      <c r="C78" s="177"/>
      <c r="D78" s="177"/>
      <c r="E78" s="177"/>
      <c r="F78" s="177"/>
      <c r="G78" s="177"/>
      <c r="H78" s="177"/>
      <c r="I78" s="177"/>
      <c r="J78" s="177"/>
      <c r="K78" s="177"/>
      <c r="L78" s="178"/>
      <c r="M78" s="2"/>
    </row>
    <row r="79" spans="1:16" s="3" customFormat="1" x14ac:dyDescent="0.25">
      <c r="A79" s="12"/>
      <c r="B79" s="585" t="s">
        <v>27</v>
      </c>
      <c r="C79" s="586"/>
      <c r="D79" s="586"/>
      <c r="E79" s="586"/>
      <c r="F79" s="586"/>
      <c r="G79" s="586"/>
      <c r="H79" s="586"/>
      <c r="I79" s="586"/>
      <c r="J79" s="586"/>
      <c r="K79" s="586"/>
      <c r="L79" s="587"/>
      <c r="M79" s="168"/>
    </row>
    <row r="80" spans="1:16" x14ac:dyDescent="0.25">
      <c r="B80" s="170"/>
      <c r="C80" s="171"/>
      <c r="D80" s="171"/>
      <c r="E80" s="171"/>
      <c r="F80" s="171"/>
      <c r="G80" s="171"/>
      <c r="H80" s="171"/>
      <c r="I80" s="171"/>
      <c r="J80" s="171"/>
      <c r="K80" s="171"/>
      <c r="L80" s="172"/>
      <c r="M80" s="2"/>
    </row>
    <row r="81" spans="1:16" x14ac:dyDescent="0.25">
      <c r="B81" s="475" t="str">
        <f>IF(Intro!$G$21="English",O81,P81)</f>
        <v>Décrivez tout changement dans le volume des stocks des marchandises maintenus par votre entreprise depuis le 1er janvier 2023 et indiquez si ces changements ont eu une incidence quelconque sur la capacité de votre entreprise à fournir ses clients.</v>
      </c>
      <c r="C81" s="476"/>
      <c r="D81" s="476"/>
      <c r="E81" s="476"/>
      <c r="F81" s="476"/>
      <c r="G81" s="476"/>
      <c r="H81" s="476"/>
      <c r="I81" s="476"/>
      <c r="J81" s="476"/>
      <c r="K81" s="476"/>
      <c r="L81" s="477"/>
      <c r="M81" s="2"/>
      <c r="O81"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1"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2" spans="1:16" x14ac:dyDescent="0.25">
      <c r="B82" s="475"/>
      <c r="C82" s="476"/>
      <c r="D82" s="476"/>
      <c r="E82" s="476"/>
      <c r="F82" s="476"/>
      <c r="G82" s="476"/>
      <c r="H82" s="476"/>
      <c r="I82" s="476"/>
      <c r="J82" s="476"/>
      <c r="K82" s="476"/>
      <c r="L82" s="477"/>
      <c r="M82" s="2"/>
    </row>
    <row r="83" spans="1:16" x14ac:dyDescent="0.25">
      <c r="B83" s="170"/>
      <c r="C83" s="171"/>
      <c r="D83" s="171"/>
      <c r="E83" s="171"/>
      <c r="F83" s="171"/>
      <c r="G83" s="171"/>
      <c r="H83" s="171"/>
      <c r="I83" s="171"/>
      <c r="J83" s="171"/>
      <c r="K83" s="171"/>
      <c r="L83" s="172"/>
      <c r="M83" s="2"/>
    </row>
    <row r="84" spans="1:16" s="3" customFormat="1" x14ac:dyDescent="0.25">
      <c r="A84" s="12"/>
      <c r="B84" s="582"/>
      <c r="C84" s="583"/>
      <c r="D84" s="583"/>
      <c r="E84" s="583"/>
      <c r="F84" s="583"/>
      <c r="G84" s="583"/>
      <c r="H84" s="583"/>
      <c r="I84" s="583"/>
      <c r="J84" s="583"/>
      <c r="K84" s="583"/>
      <c r="L84" s="584"/>
      <c r="M84" s="152"/>
      <c r="O84" s="154"/>
      <c r="P84" s="154"/>
    </row>
    <row r="85" spans="1:16" s="3" customFormat="1" x14ac:dyDescent="0.25">
      <c r="A85" s="12"/>
      <c r="B85" s="582"/>
      <c r="C85" s="583"/>
      <c r="D85" s="583"/>
      <c r="E85" s="583"/>
      <c r="F85" s="583"/>
      <c r="G85" s="583"/>
      <c r="H85" s="583"/>
      <c r="I85" s="583"/>
      <c r="J85" s="583"/>
      <c r="K85" s="583"/>
      <c r="L85" s="584"/>
      <c r="M85" s="152"/>
      <c r="O85" s="154"/>
      <c r="P85" s="154"/>
    </row>
    <row r="86" spans="1:16" s="3" customFormat="1" x14ac:dyDescent="0.25">
      <c r="A86" s="12"/>
      <c r="B86" s="582"/>
      <c r="C86" s="583"/>
      <c r="D86" s="583"/>
      <c r="E86" s="583"/>
      <c r="F86" s="583"/>
      <c r="G86" s="583"/>
      <c r="H86" s="583"/>
      <c r="I86" s="583"/>
      <c r="J86" s="583"/>
      <c r="K86" s="583"/>
      <c r="L86" s="584"/>
      <c r="M86" s="152"/>
      <c r="O86" s="154"/>
      <c r="P86" s="154"/>
    </row>
    <row r="87" spans="1:16" s="3" customFormat="1" x14ac:dyDescent="0.25">
      <c r="A87" s="12"/>
      <c r="B87" s="582"/>
      <c r="C87" s="583"/>
      <c r="D87" s="583"/>
      <c r="E87" s="583"/>
      <c r="F87" s="583"/>
      <c r="G87" s="583"/>
      <c r="H87" s="583"/>
      <c r="I87" s="583"/>
      <c r="J87" s="583"/>
      <c r="K87" s="583"/>
      <c r="L87" s="584"/>
      <c r="M87" s="152"/>
      <c r="O87" s="154"/>
      <c r="P87" s="154"/>
    </row>
    <row r="88" spans="1:16" s="3" customFormat="1" x14ac:dyDescent="0.25">
      <c r="A88" s="12"/>
      <c r="B88" s="582"/>
      <c r="C88" s="583"/>
      <c r="D88" s="583"/>
      <c r="E88" s="583"/>
      <c r="F88" s="583"/>
      <c r="G88" s="583"/>
      <c r="H88" s="583"/>
      <c r="I88" s="583"/>
      <c r="J88" s="583"/>
      <c r="K88" s="583"/>
      <c r="L88" s="584"/>
      <c r="M88" s="152"/>
      <c r="O88" s="154"/>
      <c r="P88" s="154"/>
    </row>
    <row r="89" spans="1:16" s="3" customFormat="1" x14ac:dyDescent="0.25">
      <c r="A89" s="12"/>
      <c r="B89" s="582"/>
      <c r="C89" s="583"/>
      <c r="D89" s="583"/>
      <c r="E89" s="583"/>
      <c r="F89" s="583"/>
      <c r="G89" s="583"/>
      <c r="H89" s="583"/>
      <c r="I89" s="583"/>
      <c r="J89" s="583"/>
      <c r="K89" s="583"/>
      <c r="L89" s="584"/>
      <c r="M89" s="152"/>
      <c r="O89" s="154"/>
      <c r="P89" s="154"/>
    </row>
    <row r="90" spans="1:16" s="3" customFormat="1" x14ac:dyDescent="0.25">
      <c r="A90" s="12"/>
      <c r="B90" s="582"/>
      <c r="C90" s="583"/>
      <c r="D90" s="583"/>
      <c r="E90" s="583"/>
      <c r="F90" s="583"/>
      <c r="G90" s="583"/>
      <c r="H90" s="583"/>
      <c r="I90" s="583"/>
      <c r="J90" s="583"/>
      <c r="K90" s="583"/>
      <c r="L90" s="584"/>
      <c r="M90" s="152"/>
      <c r="O90" s="154"/>
      <c r="P90" s="154"/>
    </row>
    <row r="91" spans="1:16" s="3" customFormat="1" x14ac:dyDescent="0.25">
      <c r="A91" s="12"/>
      <c r="B91" s="582"/>
      <c r="C91" s="583"/>
      <c r="D91" s="583"/>
      <c r="E91" s="583"/>
      <c r="F91" s="583"/>
      <c r="G91" s="583"/>
      <c r="H91" s="583"/>
      <c r="I91" s="583"/>
      <c r="J91" s="583"/>
      <c r="K91" s="583"/>
      <c r="L91" s="584"/>
      <c r="M91" s="152"/>
      <c r="O91" s="154"/>
      <c r="P91" s="154"/>
    </row>
    <row r="92" spans="1:16" x14ac:dyDescent="0.25">
      <c r="B92" s="176"/>
      <c r="C92" s="177"/>
      <c r="D92" s="177"/>
      <c r="E92" s="177"/>
      <c r="F92" s="177"/>
      <c r="G92" s="177"/>
      <c r="H92" s="177"/>
      <c r="I92" s="177"/>
      <c r="J92" s="177"/>
      <c r="K92" s="177"/>
      <c r="L92" s="178"/>
      <c r="M92" s="2"/>
    </row>
    <row r="93" spans="1:16" s="3" customFormat="1" x14ac:dyDescent="0.25">
      <c r="A93" s="12"/>
      <c r="B93" s="585" t="s">
        <v>28</v>
      </c>
      <c r="C93" s="586"/>
      <c r="D93" s="586"/>
      <c r="E93" s="586"/>
      <c r="F93" s="586"/>
      <c r="G93" s="586"/>
      <c r="H93" s="586"/>
      <c r="I93" s="586"/>
      <c r="J93" s="586"/>
      <c r="K93" s="586"/>
      <c r="L93" s="587"/>
      <c r="M93" s="168"/>
    </row>
    <row r="94" spans="1:16" x14ac:dyDescent="0.25">
      <c r="B94" s="170"/>
      <c r="C94" s="171"/>
      <c r="D94" s="171"/>
      <c r="E94" s="171"/>
      <c r="F94" s="171"/>
      <c r="G94" s="171"/>
      <c r="H94" s="171"/>
      <c r="I94" s="171"/>
      <c r="J94" s="171"/>
      <c r="K94" s="171"/>
      <c r="L94" s="172"/>
      <c r="M94" s="2"/>
    </row>
    <row r="95" spans="1:16" x14ac:dyDescent="0.25">
      <c r="B95" s="475" t="str">
        <f>IF(Intro!$G$21="English",O95,P95)</f>
        <v>Décrivez les plans de votre entreprise pour gérer les niveaux de stocks au cours des deux prochaines années. Fournissez les motifs et les hypothèses sous-tendant ces objectifs et ces stratégies.</v>
      </c>
      <c r="C95" s="476"/>
      <c r="D95" s="476"/>
      <c r="E95" s="476"/>
      <c r="F95" s="476"/>
      <c r="G95" s="476"/>
      <c r="H95" s="476"/>
      <c r="I95" s="476"/>
      <c r="J95" s="476"/>
      <c r="K95" s="476"/>
      <c r="L95" s="477"/>
      <c r="M95" s="2"/>
      <c r="O95" s="2" t="s">
        <v>416</v>
      </c>
      <c r="P95" s="2" t="s">
        <v>198</v>
      </c>
    </row>
    <row r="96" spans="1:16" x14ac:dyDescent="0.25">
      <c r="B96" s="170"/>
      <c r="C96" s="171"/>
      <c r="D96" s="171"/>
      <c r="E96" s="171"/>
      <c r="F96" s="171"/>
      <c r="G96" s="171"/>
      <c r="H96" s="171"/>
      <c r="I96" s="171"/>
      <c r="J96" s="171"/>
      <c r="K96" s="171"/>
      <c r="L96" s="172"/>
      <c r="M96" s="2"/>
    </row>
    <row r="97" spans="1:16" s="3" customFormat="1" x14ac:dyDescent="0.25">
      <c r="A97" s="12"/>
      <c r="B97" s="582"/>
      <c r="C97" s="583"/>
      <c r="D97" s="583"/>
      <c r="E97" s="583"/>
      <c r="F97" s="583"/>
      <c r="G97" s="583"/>
      <c r="H97" s="583"/>
      <c r="I97" s="583"/>
      <c r="J97" s="583"/>
      <c r="K97" s="583"/>
      <c r="L97" s="584"/>
      <c r="M97" s="152"/>
      <c r="O97" s="154"/>
      <c r="P97" s="154"/>
    </row>
    <row r="98" spans="1:16" s="3" customFormat="1" x14ac:dyDescent="0.25">
      <c r="A98" s="12"/>
      <c r="B98" s="582"/>
      <c r="C98" s="583"/>
      <c r="D98" s="583"/>
      <c r="E98" s="583"/>
      <c r="F98" s="583"/>
      <c r="G98" s="583"/>
      <c r="H98" s="583"/>
      <c r="I98" s="583"/>
      <c r="J98" s="583"/>
      <c r="K98" s="583"/>
      <c r="L98" s="584"/>
      <c r="M98" s="152"/>
      <c r="O98" s="154"/>
      <c r="P98" s="154"/>
    </row>
    <row r="99" spans="1:16" s="3" customFormat="1" x14ac:dyDescent="0.25">
      <c r="A99" s="12"/>
      <c r="B99" s="582"/>
      <c r="C99" s="583"/>
      <c r="D99" s="583"/>
      <c r="E99" s="583"/>
      <c r="F99" s="583"/>
      <c r="G99" s="583"/>
      <c r="H99" s="583"/>
      <c r="I99" s="583"/>
      <c r="J99" s="583"/>
      <c r="K99" s="583"/>
      <c r="L99" s="584"/>
      <c r="M99" s="152"/>
      <c r="O99" s="154"/>
      <c r="P99" s="154"/>
    </row>
    <row r="100" spans="1:16" s="3" customFormat="1" x14ac:dyDescent="0.25">
      <c r="A100" s="12"/>
      <c r="B100" s="582"/>
      <c r="C100" s="583"/>
      <c r="D100" s="583"/>
      <c r="E100" s="583"/>
      <c r="F100" s="583"/>
      <c r="G100" s="583"/>
      <c r="H100" s="583"/>
      <c r="I100" s="583"/>
      <c r="J100" s="583"/>
      <c r="K100" s="583"/>
      <c r="L100" s="584"/>
      <c r="M100" s="152"/>
      <c r="O100" s="154"/>
      <c r="P100" s="154"/>
    </row>
    <row r="101" spans="1:16" s="3" customFormat="1" x14ac:dyDescent="0.25">
      <c r="A101" s="12"/>
      <c r="B101" s="582"/>
      <c r="C101" s="583"/>
      <c r="D101" s="583"/>
      <c r="E101" s="583"/>
      <c r="F101" s="583"/>
      <c r="G101" s="583"/>
      <c r="H101" s="583"/>
      <c r="I101" s="583"/>
      <c r="J101" s="583"/>
      <c r="K101" s="583"/>
      <c r="L101" s="584"/>
      <c r="M101" s="152"/>
      <c r="O101" s="154"/>
      <c r="P101" s="154"/>
    </row>
    <row r="102" spans="1:16" s="3" customFormat="1" x14ac:dyDescent="0.25">
      <c r="A102" s="12"/>
      <c r="B102" s="582"/>
      <c r="C102" s="583"/>
      <c r="D102" s="583"/>
      <c r="E102" s="583"/>
      <c r="F102" s="583"/>
      <c r="G102" s="583"/>
      <c r="H102" s="583"/>
      <c r="I102" s="583"/>
      <c r="J102" s="583"/>
      <c r="K102" s="583"/>
      <c r="L102" s="584"/>
      <c r="M102" s="152"/>
      <c r="O102" s="154"/>
      <c r="P102" s="154"/>
    </row>
    <row r="103" spans="1:16" s="3" customFormat="1" x14ac:dyDescent="0.25">
      <c r="A103" s="12"/>
      <c r="B103" s="582"/>
      <c r="C103" s="583"/>
      <c r="D103" s="583"/>
      <c r="E103" s="583"/>
      <c r="F103" s="583"/>
      <c r="G103" s="583"/>
      <c r="H103" s="583"/>
      <c r="I103" s="583"/>
      <c r="J103" s="583"/>
      <c r="K103" s="583"/>
      <c r="L103" s="584"/>
      <c r="M103" s="152"/>
      <c r="O103" s="154"/>
      <c r="P103" s="154"/>
    </row>
    <row r="104" spans="1:16" s="3" customFormat="1" x14ac:dyDescent="0.25">
      <c r="A104" s="12"/>
      <c r="B104" s="582"/>
      <c r="C104" s="583"/>
      <c r="D104" s="583"/>
      <c r="E104" s="583"/>
      <c r="F104" s="583"/>
      <c r="G104" s="583"/>
      <c r="H104" s="583"/>
      <c r="I104" s="583"/>
      <c r="J104" s="583"/>
      <c r="K104" s="583"/>
      <c r="L104" s="584"/>
      <c r="M104" s="152"/>
      <c r="O104" s="154"/>
      <c r="P104" s="154"/>
    </row>
    <row r="105" spans="1:16" x14ac:dyDescent="0.25">
      <c r="B105" s="176"/>
      <c r="C105" s="177"/>
      <c r="D105" s="177"/>
      <c r="E105" s="177"/>
      <c r="F105" s="177"/>
      <c r="G105" s="177"/>
      <c r="H105" s="177"/>
      <c r="I105" s="177"/>
      <c r="J105" s="177"/>
      <c r="K105" s="177"/>
      <c r="L105" s="178"/>
      <c r="M105" s="2"/>
    </row>
    <row r="106" spans="1:16" s="3" customFormat="1" x14ac:dyDescent="0.25">
      <c r="A106" s="12"/>
      <c r="B106" s="585" t="s">
        <v>30</v>
      </c>
      <c r="C106" s="586"/>
      <c r="D106" s="586"/>
      <c r="E106" s="586"/>
      <c r="F106" s="586"/>
      <c r="G106" s="586"/>
      <c r="H106" s="586"/>
      <c r="I106" s="586"/>
      <c r="J106" s="586"/>
      <c r="K106" s="586"/>
      <c r="L106" s="587"/>
      <c r="M106" s="168"/>
    </row>
    <row r="107" spans="1:16" x14ac:dyDescent="0.25">
      <c r="B107" s="170"/>
      <c r="C107" s="171"/>
      <c r="D107" s="171"/>
      <c r="E107" s="171"/>
      <c r="F107" s="171"/>
      <c r="G107" s="171"/>
      <c r="H107" s="171"/>
      <c r="I107" s="171"/>
      <c r="J107" s="171"/>
      <c r="K107" s="171"/>
      <c r="L107" s="172"/>
      <c r="M107" s="2"/>
    </row>
    <row r="108" spans="1:16" x14ac:dyDescent="0.25">
      <c r="B108" s="456" t="str">
        <f>IF(Intro!$G$21="English",O108,P108)</f>
        <v>Décrivez la méthode utilisée pour déterminer la valeur des ventes de votre entreprise à ses entreprises associées au Canada et/ou à l’étranger.</v>
      </c>
      <c r="C108" s="457"/>
      <c r="D108" s="457"/>
      <c r="E108" s="457"/>
      <c r="F108" s="457"/>
      <c r="G108" s="457"/>
      <c r="H108" s="457"/>
      <c r="I108" s="457"/>
      <c r="J108" s="457"/>
      <c r="K108" s="457"/>
      <c r="L108" s="458"/>
      <c r="M108" s="2"/>
      <c r="O108" s="2" t="s">
        <v>154</v>
      </c>
      <c r="P108" s="17" t="s">
        <v>155</v>
      </c>
    </row>
    <row r="109" spans="1:16" x14ac:dyDescent="0.25">
      <c r="B109" s="170"/>
      <c r="C109" s="171"/>
      <c r="D109" s="171"/>
      <c r="E109" s="171"/>
      <c r="F109" s="171"/>
      <c r="G109" s="171"/>
      <c r="H109" s="171"/>
      <c r="I109" s="171"/>
      <c r="J109" s="171"/>
      <c r="K109" s="171"/>
      <c r="L109" s="172"/>
      <c r="M109" s="2"/>
    </row>
    <row r="110" spans="1:16" s="3" customFormat="1" x14ac:dyDescent="0.25">
      <c r="A110" s="12"/>
      <c r="B110" s="582"/>
      <c r="C110" s="583"/>
      <c r="D110" s="583"/>
      <c r="E110" s="583"/>
      <c r="F110" s="583"/>
      <c r="G110" s="583"/>
      <c r="H110" s="583"/>
      <c r="I110" s="583"/>
      <c r="J110" s="583"/>
      <c r="K110" s="583"/>
      <c r="L110" s="584"/>
      <c r="M110" s="152"/>
      <c r="O110" s="154"/>
      <c r="P110" s="154"/>
    </row>
    <row r="111" spans="1:16" s="3" customFormat="1" x14ac:dyDescent="0.25">
      <c r="A111" s="12"/>
      <c r="B111" s="582"/>
      <c r="C111" s="583"/>
      <c r="D111" s="583"/>
      <c r="E111" s="583"/>
      <c r="F111" s="583"/>
      <c r="G111" s="583"/>
      <c r="H111" s="583"/>
      <c r="I111" s="583"/>
      <c r="J111" s="583"/>
      <c r="K111" s="583"/>
      <c r="L111" s="584"/>
      <c r="M111" s="152"/>
      <c r="O111" s="154"/>
      <c r="P111" s="154"/>
    </row>
    <row r="112" spans="1:16" s="3" customFormat="1" x14ac:dyDescent="0.25">
      <c r="A112" s="12"/>
      <c r="B112" s="582"/>
      <c r="C112" s="583"/>
      <c r="D112" s="583"/>
      <c r="E112" s="583"/>
      <c r="F112" s="583"/>
      <c r="G112" s="583"/>
      <c r="H112" s="583"/>
      <c r="I112" s="583"/>
      <c r="J112" s="583"/>
      <c r="K112" s="583"/>
      <c r="L112" s="584"/>
      <c r="M112" s="152"/>
      <c r="O112" s="154"/>
      <c r="P112" s="154"/>
    </row>
    <row r="113" spans="1:19" s="3" customFormat="1" x14ac:dyDescent="0.25">
      <c r="A113" s="12"/>
      <c r="B113" s="582"/>
      <c r="C113" s="583"/>
      <c r="D113" s="583"/>
      <c r="E113" s="583"/>
      <c r="F113" s="583"/>
      <c r="G113" s="583"/>
      <c r="H113" s="583"/>
      <c r="I113" s="583"/>
      <c r="J113" s="583"/>
      <c r="K113" s="583"/>
      <c r="L113" s="584"/>
      <c r="M113" s="152"/>
      <c r="O113" s="154"/>
      <c r="P113" s="154"/>
    </row>
    <row r="114" spans="1:19" s="3" customFormat="1" x14ac:dyDescent="0.25">
      <c r="A114" s="12"/>
      <c r="B114" s="582"/>
      <c r="C114" s="583"/>
      <c r="D114" s="583"/>
      <c r="E114" s="583"/>
      <c r="F114" s="583"/>
      <c r="G114" s="583"/>
      <c r="H114" s="583"/>
      <c r="I114" s="583"/>
      <c r="J114" s="583"/>
      <c r="K114" s="583"/>
      <c r="L114" s="584"/>
      <c r="M114" s="152"/>
      <c r="O114" s="154"/>
      <c r="P114" s="154"/>
    </row>
    <row r="115" spans="1:19" s="3" customFormat="1" x14ac:dyDescent="0.25">
      <c r="A115" s="12"/>
      <c r="B115" s="582"/>
      <c r="C115" s="583"/>
      <c r="D115" s="583"/>
      <c r="E115" s="583"/>
      <c r="F115" s="583"/>
      <c r="G115" s="583"/>
      <c r="H115" s="583"/>
      <c r="I115" s="583"/>
      <c r="J115" s="583"/>
      <c r="K115" s="583"/>
      <c r="L115" s="584"/>
      <c r="M115" s="152"/>
      <c r="O115" s="154"/>
      <c r="P115" s="154"/>
    </row>
    <row r="116" spans="1:19" s="3" customFormat="1" x14ac:dyDescent="0.25">
      <c r="A116" s="12"/>
      <c r="B116" s="582"/>
      <c r="C116" s="583"/>
      <c r="D116" s="583"/>
      <c r="E116" s="583"/>
      <c r="F116" s="583"/>
      <c r="G116" s="583"/>
      <c r="H116" s="583"/>
      <c r="I116" s="583"/>
      <c r="J116" s="583"/>
      <c r="K116" s="583"/>
      <c r="L116" s="584"/>
      <c r="M116" s="152"/>
      <c r="O116" s="154"/>
      <c r="P116" s="154"/>
    </row>
    <row r="117" spans="1:19" s="3" customFormat="1" x14ac:dyDescent="0.25">
      <c r="A117" s="12"/>
      <c r="B117" s="582"/>
      <c r="C117" s="583"/>
      <c r="D117" s="583"/>
      <c r="E117" s="583"/>
      <c r="F117" s="583"/>
      <c r="G117" s="583"/>
      <c r="H117" s="583"/>
      <c r="I117" s="583"/>
      <c r="J117" s="583"/>
      <c r="K117" s="583"/>
      <c r="L117" s="584"/>
      <c r="M117" s="152"/>
      <c r="O117" s="154"/>
      <c r="P117" s="154"/>
    </row>
    <row r="118" spans="1:19" x14ac:dyDescent="0.25">
      <c r="B118" s="176"/>
      <c r="C118" s="177"/>
      <c r="D118" s="177"/>
      <c r="E118" s="177"/>
      <c r="F118" s="177"/>
      <c r="G118" s="177"/>
      <c r="H118" s="177"/>
      <c r="I118" s="177"/>
      <c r="J118" s="177"/>
      <c r="K118" s="177"/>
      <c r="L118" s="178"/>
      <c r="M118" s="2"/>
    </row>
    <row r="119" spans="1:19" s="3" customFormat="1" x14ac:dyDescent="0.25">
      <c r="A119" s="12"/>
      <c r="B119" s="585" t="s">
        <v>31</v>
      </c>
      <c r="C119" s="586"/>
      <c r="D119" s="586"/>
      <c r="E119" s="586"/>
      <c r="F119" s="586"/>
      <c r="G119" s="586"/>
      <c r="H119" s="586"/>
      <c r="I119" s="586"/>
      <c r="J119" s="586"/>
      <c r="K119" s="586"/>
      <c r="L119" s="587"/>
      <c r="M119" s="168"/>
    </row>
    <row r="120" spans="1:19" x14ac:dyDescent="0.25">
      <c r="B120" s="170"/>
      <c r="C120" s="171"/>
      <c r="D120" s="171"/>
      <c r="E120" s="171"/>
      <c r="F120" s="171"/>
      <c r="G120" s="171"/>
      <c r="H120" s="171"/>
      <c r="I120" s="171"/>
      <c r="J120" s="171"/>
      <c r="K120" s="171"/>
      <c r="L120" s="172"/>
      <c r="M120" s="2"/>
    </row>
    <row r="121" spans="1:19" x14ac:dyDescent="0.25">
      <c r="B121" s="456" t="str">
        <f>IF(Intro!$G$21="English",O121,P121)</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C121" s="457"/>
      <c r="D121" s="457"/>
      <c r="E121" s="457"/>
      <c r="F121" s="457"/>
      <c r="G121" s="457"/>
      <c r="H121" s="457"/>
      <c r="I121" s="457"/>
      <c r="J121" s="457"/>
      <c r="K121" s="457"/>
      <c r="L121" s="458"/>
      <c r="M121" s="2"/>
      <c r="O121"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121"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1" s="152"/>
      <c r="R121" s="152"/>
      <c r="S121" s="152"/>
    </row>
    <row r="122" spans="1:19" x14ac:dyDescent="0.25">
      <c r="B122" s="456"/>
      <c r="C122" s="457"/>
      <c r="D122" s="457"/>
      <c r="E122" s="457"/>
      <c r="F122" s="457"/>
      <c r="G122" s="457"/>
      <c r="H122" s="457"/>
      <c r="I122" s="457"/>
      <c r="J122" s="457"/>
      <c r="K122" s="457"/>
      <c r="L122" s="458"/>
      <c r="M122" s="2"/>
      <c r="Q122" s="152"/>
      <c r="R122" s="152"/>
      <c r="S122" s="152"/>
    </row>
    <row r="123" spans="1:19" x14ac:dyDescent="0.25">
      <c r="B123" s="456"/>
      <c r="C123" s="457"/>
      <c r="D123" s="457"/>
      <c r="E123" s="457"/>
      <c r="F123" s="457"/>
      <c r="G123" s="457"/>
      <c r="H123" s="457"/>
      <c r="I123" s="457"/>
      <c r="J123" s="457"/>
      <c r="K123" s="457"/>
      <c r="L123" s="458"/>
      <c r="M123" s="2"/>
      <c r="Q123" s="152"/>
      <c r="R123" s="152"/>
      <c r="S123" s="152"/>
    </row>
    <row r="124" spans="1:19" x14ac:dyDescent="0.25">
      <c r="B124" s="170"/>
      <c r="C124" s="171"/>
      <c r="D124" s="171"/>
      <c r="E124" s="171"/>
      <c r="F124" s="171"/>
      <c r="G124" s="171"/>
      <c r="H124" s="171"/>
      <c r="I124" s="171"/>
      <c r="J124" s="171"/>
      <c r="K124" s="171"/>
      <c r="L124" s="172"/>
      <c r="M124" s="2"/>
    </row>
    <row r="125" spans="1:19" s="3" customFormat="1" x14ac:dyDescent="0.25">
      <c r="A125" s="12"/>
      <c r="B125" s="582"/>
      <c r="C125" s="583"/>
      <c r="D125" s="583"/>
      <c r="E125" s="583"/>
      <c r="F125" s="583"/>
      <c r="G125" s="583"/>
      <c r="H125" s="583"/>
      <c r="I125" s="583"/>
      <c r="J125" s="583"/>
      <c r="K125" s="583"/>
      <c r="L125" s="584"/>
      <c r="M125" s="152"/>
      <c r="O125" s="154"/>
      <c r="P125" s="154"/>
    </row>
    <row r="126" spans="1:19" s="3" customFormat="1" x14ac:dyDescent="0.25">
      <c r="A126" s="12"/>
      <c r="B126" s="582"/>
      <c r="C126" s="583"/>
      <c r="D126" s="583"/>
      <c r="E126" s="583"/>
      <c r="F126" s="583"/>
      <c r="G126" s="583"/>
      <c r="H126" s="583"/>
      <c r="I126" s="583"/>
      <c r="J126" s="583"/>
      <c r="K126" s="583"/>
      <c r="L126" s="584"/>
      <c r="M126" s="152"/>
      <c r="O126" s="154"/>
      <c r="P126" s="154"/>
    </row>
    <row r="127" spans="1:19" s="3" customFormat="1" x14ac:dyDescent="0.25">
      <c r="A127" s="12"/>
      <c r="B127" s="582"/>
      <c r="C127" s="583"/>
      <c r="D127" s="583"/>
      <c r="E127" s="583"/>
      <c r="F127" s="583"/>
      <c r="G127" s="583"/>
      <c r="H127" s="583"/>
      <c r="I127" s="583"/>
      <c r="J127" s="583"/>
      <c r="K127" s="583"/>
      <c r="L127" s="584"/>
      <c r="M127" s="152"/>
      <c r="O127" s="154"/>
      <c r="P127" s="154"/>
    </row>
    <row r="128" spans="1:19" s="3" customFormat="1" x14ac:dyDescent="0.25">
      <c r="A128" s="12"/>
      <c r="B128" s="582"/>
      <c r="C128" s="583"/>
      <c r="D128" s="583"/>
      <c r="E128" s="583"/>
      <c r="F128" s="583"/>
      <c r="G128" s="583"/>
      <c r="H128" s="583"/>
      <c r="I128" s="583"/>
      <c r="J128" s="583"/>
      <c r="K128" s="583"/>
      <c r="L128" s="584"/>
      <c r="M128" s="152"/>
      <c r="O128" s="154"/>
      <c r="P128" s="154"/>
    </row>
    <row r="129" spans="1:16" s="3" customFormat="1" x14ac:dyDescent="0.25">
      <c r="A129" s="12"/>
      <c r="B129" s="582"/>
      <c r="C129" s="583"/>
      <c r="D129" s="583"/>
      <c r="E129" s="583"/>
      <c r="F129" s="583"/>
      <c r="G129" s="583"/>
      <c r="H129" s="583"/>
      <c r="I129" s="583"/>
      <c r="J129" s="583"/>
      <c r="K129" s="583"/>
      <c r="L129" s="584"/>
      <c r="M129" s="152"/>
      <c r="O129" s="154"/>
      <c r="P129" s="154"/>
    </row>
    <row r="130" spans="1:16" s="3" customFormat="1" x14ac:dyDescent="0.25">
      <c r="A130" s="12"/>
      <c r="B130" s="582"/>
      <c r="C130" s="583"/>
      <c r="D130" s="583"/>
      <c r="E130" s="583"/>
      <c r="F130" s="583"/>
      <c r="G130" s="583"/>
      <c r="H130" s="583"/>
      <c r="I130" s="583"/>
      <c r="J130" s="583"/>
      <c r="K130" s="583"/>
      <c r="L130" s="584"/>
      <c r="M130" s="152"/>
      <c r="O130" s="154"/>
      <c r="P130" s="154"/>
    </row>
    <row r="131" spans="1:16" s="3" customFormat="1" x14ac:dyDescent="0.25">
      <c r="A131" s="12"/>
      <c r="B131" s="582"/>
      <c r="C131" s="583"/>
      <c r="D131" s="583"/>
      <c r="E131" s="583"/>
      <c r="F131" s="583"/>
      <c r="G131" s="583"/>
      <c r="H131" s="583"/>
      <c r="I131" s="583"/>
      <c r="J131" s="583"/>
      <c r="K131" s="583"/>
      <c r="L131" s="584"/>
      <c r="M131" s="152"/>
      <c r="O131" s="154"/>
      <c r="P131" s="154"/>
    </row>
    <row r="132" spans="1:16" s="3" customFormat="1" x14ac:dyDescent="0.25">
      <c r="A132" s="12"/>
      <c r="B132" s="582"/>
      <c r="C132" s="583"/>
      <c r="D132" s="583"/>
      <c r="E132" s="583"/>
      <c r="F132" s="583"/>
      <c r="G132" s="583"/>
      <c r="H132" s="583"/>
      <c r="I132" s="583"/>
      <c r="J132" s="583"/>
      <c r="K132" s="583"/>
      <c r="L132" s="584"/>
      <c r="M132" s="152"/>
      <c r="O132" s="154"/>
      <c r="P132" s="154"/>
    </row>
    <row r="133" spans="1:16" x14ac:dyDescent="0.25">
      <c r="B133" s="176"/>
      <c r="C133" s="177"/>
      <c r="D133" s="177"/>
      <c r="E133" s="177"/>
      <c r="F133" s="177"/>
      <c r="G133" s="177"/>
      <c r="H133" s="177"/>
      <c r="I133" s="177"/>
      <c r="J133" s="177"/>
      <c r="K133" s="177"/>
      <c r="L133" s="178"/>
      <c r="M133" s="2"/>
    </row>
    <row r="134" spans="1:16" s="3" customFormat="1" x14ac:dyDescent="0.25">
      <c r="A134" s="12"/>
      <c r="B134" s="585" t="s">
        <v>33</v>
      </c>
      <c r="C134" s="586"/>
      <c r="D134" s="586"/>
      <c r="E134" s="586"/>
      <c r="F134" s="586"/>
      <c r="G134" s="586"/>
      <c r="H134" s="586"/>
      <c r="I134" s="586"/>
      <c r="J134" s="586"/>
      <c r="K134" s="586"/>
      <c r="L134" s="587"/>
      <c r="M134" s="168"/>
    </row>
    <row r="135" spans="1:16" x14ac:dyDescent="0.25">
      <c r="B135" s="170"/>
      <c r="C135" s="171"/>
      <c r="D135" s="171"/>
      <c r="E135" s="171"/>
      <c r="F135" s="171"/>
      <c r="G135" s="171"/>
      <c r="H135" s="171"/>
      <c r="I135" s="171"/>
      <c r="J135" s="171"/>
      <c r="K135" s="171"/>
      <c r="L135" s="172"/>
      <c r="M135" s="2"/>
      <c r="P135" s="1"/>
    </row>
    <row r="136" spans="1:16" x14ac:dyDescent="0.25">
      <c r="B136" s="579" t="str">
        <f>IF(Intro!$G$21="English",O136,P136)</f>
        <v xml:space="preserve">Parmi vos ventes nettes livrées totales au Canada (déclarées à la question 1), quel pourcentage représentait les frais de livraison? </v>
      </c>
      <c r="C136" s="580"/>
      <c r="D136" s="580"/>
      <c r="E136" s="580"/>
      <c r="F136" s="580"/>
      <c r="G136" s="580"/>
      <c r="H136" s="580"/>
      <c r="I136" s="580"/>
      <c r="J136" s="580"/>
      <c r="K136" s="580"/>
      <c r="L136" s="581"/>
      <c r="M136" s="2"/>
      <c r="O136" s="2" t="s">
        <v>837</v>
      </c>
      <c r="P136" s="1" t="s">
        <v>838</v>
      </c>
    </row>
    <row r="137" spans="1:16" x14ac:dyDescent="0.25">
      <c r="B137" s="170"/>
      <c r="C137" s="171"/>
      <c r="D137" s="171"/>
      <c r="E137" s="171"/>
      <c r="F137" s="171"/>
      <c r="G137" s="171"/>
      <c r="H137" s="171"/>
      <c r="I137" s="171"/>
      <c r="J137" s="171"/>
      <c r="K137" s="171"/>
      <c r="L137" s="172"/>
      <c r="M137" s="2"/>
    </row>
    <row r="138" spans="1:16" x14ac:dyDescent="0.25">
      <c r="B138" s="284"/>
      <c r="C138" s="2"/>
      <c r="D138" s="160"/>
      <c r="E138" s="160"/>
      <c r="F138" s="148"/>
      <c r="G138" s="707">
        <f>Variables!$B$6</f>
        <v>2023</v>
      </c>
      <c r="H138" s="707">
        <f>G138+1</f>
        <v>2024</v>
      </c>
      <c r="I138" s="707">
        <f>H138+1</f>
        <v>2025</v>
      </c>
      <c r="J138" s="707" t="str">
        <f>J48</f>
        <v>janv- mars 2025</v>
      </c>
      <c r="K138" s="707" t="str">
        <f>K48</f>
        <v>janv- mars 2026</v>
      </c>
      <c r="L138" s="179"/>
      <c r="M138" s="2"/>
      <c r="O138" s="11"/>
    </row>
    <row r="139" spans="1:16" x14ac:dyDescent="0.25">
      <c r="B139" s="284"/>
      <c r="C139" s="2"/>
      <c r="D139" s="160"/>
      <c r="E139" s="160"/>
      <c r="F139" s="148"/>
      <c r="G139" s="708"/>
      <c r="H139" s="708"/>
      <c r="I139" s="708"/>
      <c r="J139" s="708"/>
      <c r="K139" s="708"/>
      <c r="L139" s="179"/>
      <c r="M139" s="2"/>
      <c r="O139" s="11"/>
    </row>
    <row r="140" spans="1:16" x14ac:dyDescent="0.25">
      <c r="B140" s="284"/>
      <c r="C140" s="2"/>
      <c r="D140" s="615" t="str">
        <f>IF(Intro!$G$21="English",O140,P140)</f>
        <v>Coût de livraison</v>
      </c>
      <c r="E140" s="615"/>
      <c r="F140" s="214" t="s">
        <v>188</v>
      </c>
      <c r="G140" s="274"/>
      <c r="H140" s="274"/>
      <c r="I140" s="274"/>
      <c r="J140" s="274"/>
      <c r="K140" s="274"/>
      <c r="L140" s="179"/>
      <c r="M140" s="2"/>
      <c r="O140" s="2" t="s">
        <v>196</v>
      </c>
      <c r="P140" s="2" t="s">
        <v>197</v>
      </c>
    </row>
    <row r="141" spans="1:16" x14ac:dyDescent="0.25">
      <c r="B141" s="170"/>
      <c r="C141" s="171"/>
      <c r="D141" s="171"/>
      <c r="E141" s="171"/>
      <c r="F141" s="171"/>
      <c r="G141" s="171"/>
      <c r="H141" s="171"/>
      <c r="I141" s="171"/>
      <c r="J141" s="171"/>
      <c r="K141" s="171"/>
      <c r="L141" s="172"/>
      <c r="M141" s="2"/>
    </row>
    <row r="142" spans="1:16" x14ac:dyDescent="0.25">
      <c r="B142" s="579" t="str">
        <f>IF(Intro!$G$21="English",O142,P142)</f>
        <v>Expliquez pourquoi la proportion de la valeur de vos ventes intérieures représentée par les frais de livraison a changé depuis le 1er janvier 2023.</v>
      </c>
      <c r="C142" s="580"/>
      <c r="D142" s="580"/>
      <c r="E142" s="580"/>
      <c r="F142" s="580"/>
      <c r="G142" s="580"/>
      <c r="H142" s="580"/>
      <c r="I142" s="580"/>
      <c r="J142" s="580"/>
      <c r="K142" s="580"/>
      <c r="L142" s="581"/>
      <c r="M142" s="2"/>
      <c r="O142" s="2" t="str">
        <f>"Explain why the proportion of your domestic sales value represented by delivery costs has changed since January 1, "&amp;Variables!B6&amp;"."</f>
        <v>Explain why the proportion of your domestic sales value represented by delivery costs has changed since January 1, 2023.</v>
      </c>
      <c r="P142" s="2" t="str">
        <f>"Expliquez pourquoi la proportion de la valeur de vos ventes intérieures représentée par les frais de livraison a changé depuis le 1er janvier "&amp;Variables!B6&amp;"."</f>
        <v>Expliquez pourquoi la proportion de la valeur de vos ventes intérieures représentée par les frais de livraison a changé depuis le 1er janvier 2023.</v>
      </c>
    </row>
    <row r="143" spans="1:16" x14ac:dyDescent="0.25">
      <c r="B143" s="170"/>
      <c r="C143" s="171"/>
      <c r="D143" s="171"/>
      <c r="E143" s="171"/>
      <c r="F143" s="171"/>
      <c r="G143" s="171"/>
      <c r="H143" s="171"/>
      <c r="I143" s="171"/>
      <c r="J143" s="171"/>
      <c r="K143" s="171"/>
      <c r="L143" s="172"/>
      <c r="M143" s="2"/>
    </row>
    <row r="144" spans="1:16" s="3" customFormat="1" x14ac:dyDescent="0.25">
      <c r="A144" s="12"/>
      <c r="B144" s="582"/>
      <c r="C144" s="583"/>
      <c r="D144" s="583"/>
      <c r="E144" s="583"/>
      <c r="F144" s="583"/>
      <c r="G144" s="583"/>
      <c r="H144" s="583"/>
      <c r="I144" s="583"/>
      <c r="J144" s="583"/>
      <c r="K144" s="583"/>
      <c r="L144" s="584"/>
      <c r="M144" s="152"/>
      <c r="O144" s="154"/>
      <c r="P144" s="154"/>
    </row>
    <row r="145" spans="1:16" s="3" customFormat="1" x14ac:dyDescent="0.25">
      <c r="A145" s="12"/>
      <c r="B145" s="582"/>
      <c r="C145" s="583"/>
      <c r="D145" s="583"/>
      <c r="E145" s="583"/>
      <c r="F145" s="583"/>
      <c r="G145" s="583"/>
      <c r="H145" s="583"/>
      <c r="I145" s="583"/>
      <c r="J145" s="583"/>
      <c r="K145" s="583"/>
      <c r="L145" s="584"/>
      <c r="M145" s="152"/>
      <c r="O145" s="154"/>
      <c r="P145" s="154"/>
    </row>
    <row r="146" spans="1:16" s="3" customFormat="1" x14ac:dyDescent="0.25">
      <c r="A146" s="12"/>
      <c r="B146" s="582"/>
      <c r="C146" s="583"/>
      <c r="D146" s="583"/>
      <c r="E146" s="583"/>
      <c r="F146" s="583"/>
      <c r="G146" s="583"/>
      <c r="H146" s="583"/>
      <c r="I146" s="583"/>
      <c r="J146" s="583"/>
      <c r="K146" s="583"/>
      <c r="L146" s="584"/>
      <c r="M146" s="152"/>
      <c r="O146" s="154"/>
      <c r="P146" s="154"/>
    </row>
    <row r="147" spans="1:16" s="3" customFormat="1" x14ac:dyDescent="0.25">
      <c r="A147" s="12"/>
      <c r="B147" s="582"/>
      <c r="C147" s="583"/>
      <c r="D147" s="583"/>
      <c r="E147" s="583"/>
      <c r="F147" s="583"/>
      <c r="G147" s="583"/>
      <c r="H147" s="583"/>
      <c r="I147" s="583"/>
      <c r="J147" s="583"/>
      <c r="K147" s="583"/>
      <c r="L147" s="584"/>
      <c r="M147" s="152"/>
      <c r="O147" s="154"/>
      <c r="P147" s="154"/>
    </row>
    <row r="148" spans="1:16" s="3" customFormat="1" x14ac:dyDescent="0.25">
      <c r="A148" s="12"/>
      <c r="B148" s="582"/>
      <c r="C148" s="583"/>
      <c r="D148" s="583"/>
      <c r="E148" s="583"/>
      <c r="F148" s="583"/>
      <c r="G148" s="583"/>
      <c r="H148" s="583"/>
      <c r="I148" s="583"/>
      <c r="J148" s="583"/>
      <c r="K148" s="583"/>
      <c r="L148" s="584"/>
      <c r="M148" s="152"/>
      <c r="O148" s="154"/>
      <c r="P148" s="154"/>
    </row>
    <row r="149" spans="1:16" s="3" customFormat="1" x14ac:dyDescent="0.25">
      <c r="A149" s="12"/>
      <c r="B149" s="582"/>
      <c r="C149" s="583"/>
      <c r="D149" s="583"/>
      <c r="E149" s="583"/>
      <c r="F149" s="583"/>
      <c r="G149" s="583"/>
      <c r="H149" s="583"/>
      <c r="I149" s="583"/>
      <c r="J149" s="583"/>
      <c r="K149" s="583"/>
      <c r="L149" s="584"/>
      <c r="M149" s="152"/>
      <c r="O149" s="154"/>
      <c r="P149" s="154"/>
    </row>
    <row r="150" spans="1:16" s="3" customFormat="1" x14ac:dyDescent="0.25">
      <c r="A150" s="12"/>
      <c r="B150" s="582"/>
      <c r="C150" s="583"/>
      <c r="D150" s="583"/>
      <c r="E150" s="583"/>
      <c r="F150" s="583"/>
      <c r="G150" s="583"/>
      <c r="H150" s="583"/>
      <c r="I150" s="583"/>
      <c r="J150" s="583"/>
      <c r="K150" s="583"/>
      <c r="L150" s="584"/>
      <c r="M150" s="152"/>
      <c r="O150" s="154"/>
      <c r="P150" s="154"/>
    </row>
    <row r="151" spans="1:16" s="3" customFormat="1" x14ac:dyDescent="0.25">
      <c r="A151" s="12"/>
      <c r="B151" s="582"/>
      <c r="C151" s="583"/>
      <c r="D151" s="583"/>
      <c r="E151" s="583"/>
      <c r="F151" s="583"/>
      <c r="G151" s="583"/>
      <c r="H151" s="583"/>
      <c r="I151" s="583"/>
      <c r="J151" s="583"/>
      <c r="K151" s="583"/>
      <c r="L151" s="584"/>
      <c r="M151" s="152"/>
      <c r="O151" s="154"/>
      <c r="P151" s="154"/>
    </row>
    <row r="152" spans="1:16" x14ac:dyDescent="0.25">
      <c r="B152" s="176"/>
      <c r="C152" s="177"/>
      <c r="D152" s="177"/>
      <c r="E152" s="177"/>
      <c r="F152" s="177"/>
      <c r="G152" s="177"/>
      <c r="H152" s="177"/>
      <c r="I152" s="177"/>
      <c r="J152" s="177"/>
      <c r="K152" s="177"/>
      <c r="L152" s="178"/>
      <c r="M152" s="2"/>
    </row>
    <row r="153" spans="1:16" s="3" customFormat="1" x14ac:dyDescent="0.25">
      <c r="A153" s="12"/>
      <c r="B153" s="585" t="s">
        <v>34</v>
      </c>
      <c r="C153" s="586"/>
      <c r="D153" s="586"/>
      <c r="E153" s="586"/>
      <c r="F153" s="586"/>
      <c r="G153" s="586"/>
      <c r="H153" s="586"/>
      <c r="I153" s="586"/>
      <c r="J153" s="586"/>
      <c r="K153" s="586"/>
      <c r="L153" s="587"/>
      <c r="M153" s="168"/>
    </row>
    <row r="154" spans="1:16" x14ac:dyDescent="0.25">
      <c r="B154" s="170"/>
      <c r="C154" s="171"/>
      <c r="D154" s="171"/>
      <c r="E154" s="171"/>
      <c r="F154" s="171"/>
      <c r="G154" s="171"/>
      <c r="H154" s="171"/>
      <c r="I154" s="171"/>
      <c r="J154" s="171"/>
      <c r="K154" s="171"/>
      <c r="L154" s="172"/>
      <c r="M154" s="2"/>
    </row>
    <row r="155" spans="1:16" x14ac:dyDescent="0.25">
      <c r="B155" s="456" t="str">
        <f>IF(Intro!$G$21="English",O155,P155)</f>
        <v>Fournissez les stratégies et les objectifs de votre entreprise pour les deux prochaines années en ce qui concerne les ventes intérieures de la production nationale des marchandises. Fournir la justification et les hypothèses qui sous-tendent ces stratégies et objectifs.</v>
      </c>
      <c r="C155" s="457"/>
      <c r="D155" s="457"/>
      <c r="E155" s="457"/>
      <c r="F155" s="457"/>
      <c r="G155" s="457"/>
      <c r="H155" s="457"/>
      <c r="I155" s="457"/>
      <c r="J155" s="457"/>
      <c r="K155" s="457"/>
      <c r="L155" s="458"/>
      <c r="M155" s="2"/>
      <c r="O155" s="2" t="s">
        <v>199</v>
      </c>
      <c r="P155" s="2" t="s">
        <v>200</v>
      </c>
    </row>
    <row r="156" spans="1:16" x14ac:dyDescent="0.25">
      <c r="B156" s="456"/>
      <c r="C156" s="457"/>
      <c r="D156" s="457"/>
      <c r="E156" s="457"/>
      <c r="F156" s="457"/>
      <c r="G156" s="457"/>
      <c r="H156" s="457"/>
      <c r="I156" s="457"/>
      <c r="J156" s="457"/>
      <c r="K156" s="457"/>
      <c r="L156" s="458"/>
      <c r="M156" s="2"/>
    </row>
    <row r="157" spans="1:16" x14ac:dyDescent="0.25">
      <c r="B157" s="170"/>
      <c r="C157" s="171"/>
      <c r="D157" s="171"/>
      <c r="E157" s="171"/>
      <c r="F157" s="171"/>
      <c r="G157" s="171"/>
      <c r="H157" s="171"/>
      <c r="I157" s="171"/>
      <c r="J157" s="171"/>
      <c r="K157" s="171"/>
      <c r="L157" s="172"/>
      <c r="M157" s="2"/>
    </row>
    <row r="158" spans="1:16" s="3" customFormat="1" x14ac:dyDescent="0.25">
      <c r="A158" s="12"/>
      <c r="B158" s="582"/>
      <c r="C158" s="583"/>
      <c r="D158" s="583"/>
      <c r="E158" s="583"/>
      <c r="F158" s="583"/>
      <c r="G158" s="583"/>
      <c r="H158" s="583"/>
      <c r="I158" s="583"/>
      <c r="J158" s="583"/>
      <c r="K158" s="583"/>
      <c r="L158" s="584"/>
      <c r="M158" s="152"/>
      <c r="O158" s="154"/>
      <c r="P158" s="154"/>
    </row>
    <row r="159" spans="1:16" s="3" customFormat="1" x14ac:dyDescent="0.25">
      <c r="A159" s="12"/>
      <c r="B159" s="582"/>
      <c r="C159" s="583"/>
      <c r="D159" s="583"/>
      <c r="E159" s="583"/>
      <c r="F159" s="583"/>
      <c r="G159" s="583"/>
      <c r="H159" s="583"/>
      <c r="I159" s="583"/>
      <c r="J159" s="583"/>
      <c r="K159" s="583"/>
      <c r="L159" s="584"/>
      <c r="M159" s="152"/>
      <c r="O159" s="154"/>
      <c r="P159" s="154"/>
    </row>
    <row r="160" spans="1:16" s="3" customFormat="1" x14ac:dyDescent="0.25">
      <c r="A160" s="12"/>
      <c r="B160" s="582"/>
      <c r="C160" s="583"/>
      <c r="D160" s="583"/>
      <c r="E160" s="583"/>
      <c r="F160" s="583"/>
      <c r="G160" s="583"/>
      <c r="H160" s="583"/>
      <c r="I160" s="583"/>
      <c r="J160" s="583"/>
      <c r="K160" s="583"/>
      <c r="L160" s="584"/>
      <c r="M160" s="152"/>
      <c r="O160" s="154"/>
      <c r="P160" s="154"/>
    </row>
    <row r="161" spans="1:16" s="3" customFormat="1" x14ac:dyDescent="0.25">
      <c r="A161" s="12"/>
      <c r="B161" s="582"/>
      <c r="C161" s="583"/>
      <c r="D161" s="583"/>
      <c r="E161" s="583"/>
      <c r="F161" s="583"/>
      <c r="G161" s="583"/>
      <c r="H161" s="583"/>
      <c r="I161" s="583"/>
      <c r="J161" s="583"/>
      <c r="K161" s="583"/>
      <c r="L161" s="584"/>
      <c r="M161" s="152"/>
      <c r="O161" s="154"/>
      <c r="P161" s="154"/>
    </row>
    <row r="162" spans="1:16" s="3" customFormat="1" x14ac:dyDescent="0.25">
      <c r="A162" s="12"/>
      <c r="B162" s="582"/>
      <c r="C162" s="583"/>
      <c r="D162" s="583"/>
      <c r="E162" s="583"/>
      <c r="F162" s="583"/>
      <c r="G162" s="583"/>
      <c r="H162" s="583"/>
      <c r="I162" s="583"/>
      <c r="J162" s="583"/>
      <c r="K162" s="583"/>
      <c r="L162" s="584"/>
      <c r="M162" s="152"/>
      <c r="O162" s="154"/>
      <c r="P162" s="154"/>
    </row>
    <row r="163" spans="1:16" s="3" customFormat="1" x14ac:dyDescent="0.25">
      <c r="A163" s="12"/>
      <c r="B163" s="582"/>
      <c r="C163" s="583"/>
      <c r="D163" s="583"/>
      <c r="E163" s="583"/>
      <c r="F163" s="583"/>
      <c r="G163" s="583"/>
      <c r="H163" s="583"/>
      <c r="I163" s="583"/>
      <c r="J163" s="583"/>
      <c r="K163" s="583"/>
      <c r="L163" s="584"/>
      <c r="M163" s="152"/>
      <c r="O163" s="154"/>
      <c r="P163" s="154"/>
    </row>
    <row r="164" spans="1:16" s="3" customFormat="1" x14ac:dyDescent="0.25">
      <c r="A164" s="12"/>
      <c r="B164" s="582"/>
      <c r="C164" s="583"/>
      <c r="D164" s="583"/>
      <c r="E164" s="583"/>
      <c r="F164" s="583"/>
      <c r="G164" s="583"/>
      <c r="H164" s="583"/>
      <c r="I164" s="583"/>
      <c r="J164" s="583"/>
      <c r="K164" s="583"/>
      <c r="L164" s="584"/>
      <c r="M164" s="152"/>
      <c r="O164" s="154"/>
      <c r="P164" s="154"/>
    </row>
    <row r="165" spans="1:16" s="3" customFormat="1" x14ac:dyDescent="0.25">
      <c r="A165" s="12"/>
      <c r="B165" s="582"/>
      <c r="C165" s="583"/>
      <c r="D165" s="583"/>
      <c r="E165" s="583"/>
      <c r="F165" s="583"/>
      <c r="G165" s="583"/>
      <c r="H165" s="583"/>
      <c r="I165" s="583"/>
      <c r="J165" s="583"/>
      <c r="K165" s="583"/>
      <c r="L165" s="584"/>
      <c r="M165" s="152"/>
      <c r="O165" s="154"/>
      <c r="P165" s="154"/>
    </row>
    <row r="166" spans="1:16" x14ac:dyDescent="0.25">
      <c r="B166" s="176"/>
      <c r="C166" s="177"/>
      <c r="D166" s="177"/>
      <c r="E166" s="177"/>
      <c r="F166" s="177"/>
      <c r="G166" s="177"/>
      <c r="H166" s="177"/>
      <c r="I166" s="177"/>
      <c r="J166" s="177"/>
      <c r="K166" s="177"/>
      <c r="L166" s="178"/>
      <c r="M166" s="2"/>
    </row>
    <row r="167" spans="1:16" s="3" customFormat="1" x14ac:dyDescent="0.25">
      <c r="A167" s="12"/>
      <c r="B167" s="585" t="s">
        <v>35</v>
      </c>
      <c r="C167" s="586"/>
      <c r="D167" s="586"/>
      <c r="E167" s="586"/>
      <c r="F167" s="586"/>
      <c r="G167" s="586"/>
      <c r="H167" s="586"/>
      <c r="I167" s="586"/>
      <c r="J167" s="586"/>
      <c r="K167" s="586"/>
      <c r="L167" s="587"/>
      <c r="M167" s="168"/>
    </row>
    <row r="168" spans="1:16" x14ac:dyDescent="0.25">
      <c r="B168" s="170"/>
      <c r="C168" s="171"/>
      <c r="D168" s="171"/>
      <c r="E168" s="171"/>
      <c r="F168" s="171"/>
      <c r="G168" s="171"/>
      <c r="H168" s="171"/>
      <c r="I168" s="171"/>
      <c r="J168" s="171"/>
      <c r="K168" s="171"/>
      <c r="L168" s="172"/>
      <c r="M168" s="2"/>
    </row>
    <row r="169" spans="1:16" x14ac:dyDescent="0.25">
      <c r="B169" s="475" t="str">
        <f>IF(Intro!$G$21="English",O169,P169)</f>
        <v>Fournissez les stratégies et les objectifs de votre entreprise pour les deux prochaines années en ce qui concerne les prix des marchandises. Fournir la justification et les hypothèses qui sous-tendent ces stratégies et objectifs.</v>
      </c>
      <c r="C169" s="476"/>
      <c r="D169" s="476"/>
      <c r="E169" s="476"/>
      <c r="F169" s="476"/>
      <c r="G169" s="476"/>
      <c r="H169" s="476"/>
      <c r="I169" s="476"/>
      <c r="J169" s="476"/>
      <c r="K169" s="476"/>
      <c r="L169" s="477"/>
      <c r="M169" s="2"/>
      <c r="O169" s="2" t="s">
        <v>358</v>
      </c>
      <c r="P169" s="2" t="s">
        <v>203</v>
      </c>
    </row>
    <row r="170" spans="1:16" x14ac:dyDescent="0.25">
      <c r="B170" s="475"/>
      <c r="C170" s="476"/>
      <c r="D170" s="476"/>
      <c r="E170" s="476"/>
      <c r="F170" s="476"/>
      <c r="G170" s="476"/>
      <c r="H170" s="476"/>
      <c r="I170" s="476"/>
      <c r="J170" s="476"/>
      <c r="K170" s="476"/>
      <c r="L170" s="477"/>
      <c r="M170" s="2"/>
    </row>
    <row r="171" spans="1:16" x14ac:dyDescent="0.25">
      <c r="B171" s="170"/>
      <c r="C171" s="171"/>
      <c r="D171" s="171"/>
      <c r="E171" s="171"/>
      <c r="F171" s="171"/>
      <c r="G171" s="171"/>
      <c r="H171" s="171"/>
      <c r="I171" s="171"/>
      <c r="J171" s="171"/>
      <c r="K171" s="171"/>
      <c r="L171" s="172"/>
      <c r="M171" s="2"/>
    </row>
    <row r="172" spans="1:16" s="3" customFormat="1" x14ac:dyDescent="0.25">
      <c r="A172" s="12"/>
      <c r="B172" s="582"/>
      <c r="C172" s="583"/>
      <c r="D172" s="583"/>
      <c r="E172" s="583"/>
      <c r="F172" s="583"/>
      <c r="G172" s="583"/>
      <c r="H172" s="583"/>
      <c r="I172" s="583"/>
      <c r="J172" s="583"/>
      <c r="K172" s="583"/>
      <c r="L172" s="584"/>
      <c r="M172" s="152"/>
      <c r="O172" s="154"/>
      <c r="P172" s="154"/>
    </row>
    <row r="173" spans="1:16" s="3" customFormat="1" x14ac:dyDescent="0.25">
      <c r="A173" s="12"/>
      <c r="B173" s="582"/>
      <c r="C173" s="583"/>
      <c r="D173" s="583"/>
      <c r="E173" s="583"/>
      <c r="F173" s="583"/>
      <c r="G173" s="583"/>
      <c r="H173" s="583"/>
      <c r="I173" s="583"/>
      <c r="J173" s="583"/>
      <c r="K173" s="583"/>
      <c r="L173" s="584"/>
      <c r="M173" s="152"/>
      <c r="O173" s="154"/>
      <c r="P173" s="154"/>
    </row>
    <row r="174" spans="1:16" s="3" customFormat="1" x14ac:dyDescent="0.25">
      <c r="A174" s="12"/>
      <c r="B174" s="582"/>
      <c r="C174" s="583"/>
      <c r="D174" s="583"/>
      <c r="E174" s="583"/>
      <c r="F174" s="583"/>
      <c r="G174" s="583"/>
      <c r="H174" s="583"/>
      <c r="I174" s="583"/>
      <c r="J174" s="583"/>
      <c r="K174" s="583"/>
      <c r="L174" s="584"/>
      <c r="M174" s="152"/>
      <c r="O174" s="154"/>
      <c r="P174" s="154"/>
    </row>
    <row r="175" spans="1:16" s="3" customFormat="1" x14ac:dyDescent="0.25">
      <c r="A175" s="12"/>
      <c r="B175" s="582"/>
      <c r="C175" s="583"/>
      <c r="D175" s="583"/>
      <c r="E175" s="583"/>
      <c r="F175" s="583"/>
      <c r="G175" s="583"/>
      <c r="H175" s="583"/>
      <c r="I175" s="583"/>
      <c r="J175" s="583"/>
      <c r="K175" s="583"/>
      <c r="L175" s="584"/>
      <c r="M175" s="152"/>
      <c r="O175" s="154"/>
      <c r="P175" s="154"/>
    </row>
    <row r="176" spans="1:16" s="3" customFormat="1" x14ac:dyDescent="0.25">
      <c r="A176" s="12"/>
      <c r="B176" s="582"/>
      <c r="C176" s="583"/>
      <c r="D176" s="583"/>
      <c r="E176" s="583"/>
      <c r="F176" s="583"/>
      <c r="G176" s="583"/>
      <c r="H176" s="583"/>
      <c r="I176" s="583"/>
      <c r="J176" s="583"/>
      <c r="K176" s="583"/>
      <c r="L176" s="584"/>
      <c r="M176" s="152"/>
      <c r="O176" s="154"/>
      <c r="P176" s="154"/>
    </row>
    <row r="177" spans="1:16" s="3" customFormat="1" x14ac:dyDescent="0.25">
      <c r="A177" s="12"/>
      <c r="B177" s="582"/>
      <c r="C177" s="583"/>
      <c r="D177" s="583"/>
      <c r="E177" s="583"/>
      <c r="F177" s="583"/>
      <c r="G177" s="583"/>
      <c r="H177" s="583"/>
      <c r="I177" s="583"/>
      <c r="J177" s="583"/>
      <c r="K177" s="583"/>
      <c r="L177" s="584"/>
      <c r="M177" s="152"/>
      <c r="O177" s="154"/>
      <c r="P177" s="154"/>
    </row>
    <row r="178" spans="1:16" s="3" customFormat="1" x14ac:dyDescent="0.25">
      <c r="A178" s="12"/>
      <c r="B178" s="582"/>
      <c r="C178" s="583"/>
      <c r="D178" s="583"/>
      <c r="E178" s="583"/>
      <c r="F178" s="583"/>
      <c r="G178" s="583"/>
      <c r="H178" s="583"/>
      <c r="I178" s="583"/>
      <c r="J178" s="583"/>
      <c r="K178" s="583"/>
      <c r="L178" s="584"/>
      <c r="M178" s="152"/>
      <c r="O178" s="154"/>
      <c r="P178" s="154"/>
    </row>
    <row r="179" spans="1:16" s="3" customFormat="1" x14ac:dyDescent="0.25">
      <c r="A179" s="12"/>
      <c r="B179" s="582"/>
      <c r="C179" s="583"/>
      <c r="D179" s="583"/>
      <c r="E179" s="583"/>
      <c r="F179" s="583"/>
      <c r="G179" s="583"/>
      <c r="H179" s="583"/>
      <c r="I179" s="583"/>
      <c r="J179" s="583"/>
      <c r="K179" s="583"/>
      <c r="L179" s="584"/>
      <c r="M179" s="152"/>
      <c r="O179" s="154"/>
      <c r="P179" s="154"/>
    </row>
    <row r="180" spans="1:16" x14ac:dyDescent="0.25">
      <c r="B180" s="176"/>
      <c r="C180" s="177"/>
      <c r="D180" s="177"/>
      <c r="E180" s="177"/>
      <c r="F180" s="177"/>
      <c r="G180" s="177"/>
      <c r="H180" s="177"/>
      <c r="I180" s="177"/>
      <c r="J180" s="177"/>
      <c r="K180" s="177"/>
      <c r="L180" s="178"/>
      <c r="M180" s="2"/>
    </row>
    <row r="181" spans="1:16" s="3" customFormat="1" x14ac:dyDescent="0.25">
      <c r="A181" s="12"/>
      <c r="B181" s="585" t="s">
        <v>36</v>
      </c>
      <c r="C181" s="586"/>
      <c r="D181" s="586"/>
      <c r="E181" s="586"/>
      <c r="F181" s="586"/>
      <c r="G181" s="586"/>
      <c r="H181" s="586"/>
      <c r="I181" s="586"/>
      <c r="J181" s="586"/>
      <c r="K181" s="586"/>
      <c r="L181" s="587"/>
      <c r="M181" s="168"/>
    </row>
    <row r="182" spans="1:16" x14ac:dyDescent="0.25">
      <c r="B182" s="170"/>
      <c r="C182" s="171"/>
      <c r="D182" s="171"/>
      <c r="E182" s="171"/>
      <c r="F182" s="171"/>
      <c r="G182" s="171"/>
      <c r="H182" s="171"/>
      <c r="I182" s="171"/>
      <c r="J182" s="171"/>
      <c r="K182" s="171"/>
      <c r="L182" s="172"/>
      <c r="M182" s="2"/>
    </row>
    <row r="183" spans="1:16" x14ac:dyDescent="0.25">
      <c r="B183" s="475" t="str">
        <f>IF(Intro!$G$21="English",O187,P187)</f>
        <v>b) La stratégie d'exportation de votre entreprise pour ces marchandises a-t-elle changé depuis janvier 2023 ?</v>
      </c>
      <c r="C183" s="476"/>
      <c r="D183" s="476"/>
      <c r="E183" s="476"/>
      <c r="F183" s="476"/>
      <c r="G183" s="476"/>
      <c r="H183" s="476"/>
      <c r="I183" s="476"/>
      <c r="J183" s="476"/>
      <c r="K183" s="476"/>
      <c r="L183" s="477"/>
      <c r="M183" s="2"/>
      <c r="O183" s="2" t="s">
        <v>201</v>
      </c>
      <c r="P183" s="2" t="s">
        <v>202</v>
      </c>
    </row>
    <row r="184" spans="1:16" x14ac:dyDescent="0.25">
      <c r="B184" s="475"/>
      <c r="C184" s="476"/>
      <c r="D184" s="476"/>
      <c r="E184" s="476"/>
      <c r="F184" s="476"/>
      <c r="G184" s="476"/>
      <c r="H184" s="476"/>
      <c r="I184" s="476"/>
      <c r="J184" s="476"/>
      <c r="K184" s="476"/>
      <c r="L184" s="477"/>
      <c r="M184" s="2"/>
    </row>
    <row r="185" spans="1:16" x14ac:dyDescent="0.25">
      <c r="B185" s="170"/>
      <c r="C185" s="171"/>
      <c r="D185" s="171"/>
      <c r="E185" s="171"/>
      <c r="F185" s="171"/>
      <c r="G185" s="171"/>
      <c r="H185" s="171"/>
      <c r="I185" s="171"/>
      <c r="J185" s="171"/>
      <c r="K185" s="171"/>
      <c r="L185" s="172"/>
      <c r="M185" s="2"/>
    </row>
    <row r="186" spans="1:16" s="3" customFormat="1" x14ac:dyDescent="0.25">
      <c r="A186" s="12"/>
      <c r="B186" s="582"/>
      <c r="C186" s="583"/>
      <c r="D186" s="583"/>
      <c r="E186" s="583"/>
      <c r="F186" s="583"/>
      <c r="G186" s="583"/>
      <c r="H186" s="583"/>
      <c r="I186" s="583"/>
      <c r="J186" s="583"/>
      <c r="K186" s="583"/>
      <c r="L186" s="584"/>
      <c r="M186" s="152"/>
      <c r="O186" s="154"/>
      <c r="P186" s="154"/>
    </row>
    <row r="187" spans="1:16" s="3" customFormat="1" x14ac:dyDescent="0.25">
      <c r="A187" s="12"/>
      <c r="B187" s="582"/>
      <c r="C187" s="583"/>
      <c r="D187" s="583"/>
      <c r="E187" s="583"/>
      <c r="F187" s="583"/>
      <c r="G187" s="583"/>
      <c r="H187" s="583"/>
      <c r="I187" s="583"/>
      <c r="J187" s="583"/>
      <c r="K187" s="583"/>
      <c r="L187" s="584"/>
      <c r="M187" s="152"/>
      <c r="O187" s="9" t="s">
        <v>1074</v>
      </c>
      <c r="P187" s="9" t="s">
        <v>1075</v>
      </c>
    </row>
    <row r="188" spans="1:16" s="3" customFormat="1" x14ac:dyDescent="0.25">
      <c r="A188" s="12"/>
      <c r="B188" s="582"/>
      <c r="C188" s="583"/>
      <c r="D188" s="583"/>
      <c r="E188" s="583"/>
      <c r="F188" s="583"/>
      <c r="G188" s="583"/>
      <c r="H188" s="583"/>
      <c r="I188" s="583"/>
      <c r="J188" s="583"/>
      <c r="K188" s="583"/>
      <c r="L188" s="584"/>
      <c r="M188" s="152"/>
      <c r="O188" s="154"/>
      <c r="P188" s="154"/>
    </row>
    <row r="189" spans="1:16" s="3" customFormat="1" x14ac:dyDescent="0.25">
      <c r="A189" s="12"/>
      <c r="B189" s="582"/>
      <c r="C189" s="583"/>
      <c r="D189" s="583"/>
      <c r="E189" s="583"/>
      <c r="F189" s="583"/>
      <c r="G189" s="583"/>
      <c r="H189" s="583"/>
      <c r="I189" s="583"/>
      <c r="J189" s="583"/>
      <c r="K189" s="583"/>
      <c r="L189" s="584"/>
      <c r="M189" s="152"/>
      <c r="O189" s="154"/>
      <c r="P189" s="154"/>
    </row>
    <row r="190" spans="1:16" s="3" customFormat="1" x14ac:dyDescent="0.25">
      <c r="A190" s="12"/>
      <c r="B190" s="582"/>
      <c r="C190" s="583"/>
      <c r="D190" s="583"/>
      <c r="E190" s="583"/>
      <c r="F190" s="583"/>
      <c r="G190" s="583"/>
      <c r="H190" s="583"/>
      <c r="I190" s="583"/>
      <c r="J190" s="583"/>
      <c r="K190" s="583"/>
      <c r="L190" s="584"/>
      <c r="M190" s="152"/>
      <c r="O190" s="154"/>
      <c r="P190" s="154"/>
    </row>
    <row r="191" spans="1:16" s="3" customFormat="1" x14ac:dyDescent="0.25">
      <c r="A191" s="12"/>
      <c r="B191" s="582"/>
      <c r="C191" s="583"/>
      <c r="D191" s="583"/>
      <c r="E191" s="583"/>
      <c r="F191" s="583"/>
      <c r="G191" s="583"/>
      <c r="H191" s="583"/>
      <c r="I191" s="583"/>
      <c r="J191" s="583"/>
      <c r="K191" s="583"/>
      <c r="L191" s="584"/>
      <c r="M191" s="152"/>
      <c r="O191" s="154"/>
      <c r="P191" s="154"/>
    </row>
    <row r="192" spans="1:16" s="3" customFormat="1" x14ac:dyDescent="0.25">
      <c r="A192" s="12"/>
      <c r="B192" s="582"/>
      <c r="C192" s="583"/>
      <c r="D192" s="583"/>
      <c r="E192" s="583"/>
      <c r="F192" s="583"/>
      <c r="G192" s="583"/>
      <c r="H192" s="583"/>
      <c r="I192" s="583"/>
      <c r="J192" s="583"/>
      <c r="K192" s="583"/>
      <c r="L192" s="584"/>
      <c r="M192" s="152"/>
      <c r="O192" s="154"/>
      <c r="P192" s="154"/>
    </row>
    <row r="193" spans="1:16" s="3" customFormat="1" x14ac:dyDescent="0.25">
      <c r="A193" s="12"/>
      <c r="B193" s="582"/>
      <c r="C193" s="583"/>
      <c r="D193" s="583"/>
      <c r="E193" s="583"/>
      <c r="F193" s="583"/>
      <c r="G193" s="583"/>
      <c r="H193" s="583"/>
      <c r="I193" s="583"/>
      <c r="J193" s="583"/>
      <c r="K193" s="583"/>
      <c r="L193" s="584"/>
      <c r="M193" s="152"/>
      <c r="O193" s="154"/>
      <c r="P193" s="154"/>
    </row>
    <row r="194" spans="1:16" x14ac:dyDescent="0.25">
      <c r="B194" s="475" t="str">
        <f>IF(Intro!$G$21="English",O194,P194)</f>
        <v>b) Fournissez les stratégies et les objectifs de votre entreprise pour les deux prochaines années en ce qui concerne les ventes à l'exportation des marchandises. Fournir la justification et les hypothèses qui sous-tendent ces stratégies et objectifs.</v>
      </c>
      <c r="C194" s="476"/>
      <c r="D194" s="476"/>
      <c r="E194" s="476"/>
      <c r="F194" s="476"/>
      <c r="G194" s="476"/>
      <c r="H194" s="476"/>
      <c r="I194" s="476"/>
      <c r="J194" s="476"/>
      <c r="K194" s="476"/>
      <c r="L194" s="477"/>
      <c r="M194" s="2"/>
      <c r="O194" s="2" t="s">
        <v>921</v>
      </c>
      <c r="P194" s="2" t="s">
        <v>922</v>
      </c>
    </row>
    <row r="195" spans="1:16" x14ac:dyDescent="0.25">
      <c r="B195" s="475"/>
      <c r="C195" s="476"/>
      <c r="D195" s="476"/>
      <c r="E195" s="476"/>
      <c r="F195" s="476"/>
      <c r="G195" s="476"/>
      <c r="H195" s="476"/>
      <c r="I195" s="476"/>
      <c r="J195" s="476"/>
      <c r="K195" s="476"/>
      <c r="L195" s="477"/>
      <c r="M195" s="2"/>
    </row>
    <row r="196" spans="1:16" x14ac:dyDescent="0.25">
      <c r="B196" s="170"/>
      <c r="C196" s="171"/>
      <c r="D196" s="171"/>
      <c r="E196" s="171"/>
      <c r="F196" s="171"/>
      <c r="G196" s="171"/>
      <c r="H196" s="171"/>
      <c r="I196" s="171"/>
      <c r="J196" s="171"/>
      <c r="K196" s="171"/>
      <c r="L196" s="172"/>
      <c r="M196" s="2"/>
    </row>
    <row r="197" spans="1:16" s="3" customFormat="1" x14ac:dyDescent="0.25">
      <c r="A197" s="12"/>
      <c r="B197" s="582"/>
      <c r="C197" s="583"/>
      <c r="D197" s="583"/>
      <c r="E197" s="583"/>
      <c r="F197" s="583"/>
      <c r="G197" s="583"/>
      <c r="H197" s="583"/>
      <c r="I197" s="583"/>
      <c r="J197" s="583"/>
      <c r="K197" s="583"/>
      <c r="L197" s="584"/>
      <c r="M197" s="152"/>
      <c r="O197" s="154"/>
      <c r="P197" s="154"/>
    </row>
    <row r="198" spans="1:16" s="3" customFormat="1" x14ac:dyDescent="0.25">
      <c r="A198" s="12"/>
      <c r="B198" s="582"/>
      <c r="C198" s="583"/>
      <c r="D198" s="583"/>
      <c r="E198" s="583"/>
      <c r="F198" s="583"/>
      <c r="G198" s="583"/>
      <c r="H198" s="583"/>
      <c r="I198" s="583"/>
      <c r="J198" s="583"/>
      <c r="K198" s="583"/>
      <c r="L198" s="584"/>
      <c r="M198" s="152"/>
      <c r="O198" s="154"/>
      <c r="P198" s="154"/>
    </row>
    <row r="199" spans="1:16" s="3" customFormat="1" x14ac:dyDescent="0.25">
      <c r="A199" s="12"/>
      <c r="B199" s="582"/>
      <c r="C199" s="583"/>
      <c r="D199" s="583"/>
      <c r="E199" s="583"/>
      <c r="F199" s="583"/>
      <c r="G199" s="583"/>
      <c r="H199" s="583"/>
      <c r="I199" s="583"/>
      <c r="J199" s="583"/>
      <c r="K199" s="583"/>
      <c r="L199" s="584"/>
      <c r="M199" s="152"/>
      <c r="O199" s="154"/>
      <c r="P199" s="154"/>
    </row>
    <row r="200" spans="1:16" s="3" customFormat="1" x14ac:dyDescent="0.25">
      <c r="A200" s="12"/>
      <c r="B200" s="582"/>
      <c r="C200" s="583"/>
      <c r="D200" s="583"/>
      <c r="E200" s="583"/>
      <c r="F200" s="583"/>
      <c r="G200" s="583"/>
      <c r="H200" s="583"/>
      <c r="I200" s="583"/>
      <c r="J200" s="583"/>
      <c r="K200" s="583"/>
      <c r="L200" s="584"/>
      <c r="M200" s="152"/>
      <c r="O200" s="154"/>
      <c r="P200" s="154"/>
    </row>
    <row r="201" spans="1:16" s="3" customFormat="1" x14ac:dyDescent="0.25">
      <c r="A201" s="12"/>
      <c r="B201" s="582"/>
      <c r="C201" s="583"/>
      <c r="D201" s="583"/>
      <c r="E201" s="583"/>
      <c r="F201" s="583"/>
      <c r="G201" s="583"/>
      <c r="H201" s="583"/>
      <c r="I201" s="583"/>
      <c r="J201" s="583"/>
      <c r="K201" s="583"/>
      <c r="L201" s="584"/>
      <c r="M201" s="152"/>
      <c r="O201" s="154"/>
      <c r="P201" s="154"/>
    </row>
    <row r="202" spans="1:16" s="3" customFormat="1" x14ac:dyDescent="0.25">
      <c r="A202" s="12"/>
      <c r="B202" s="582"/>
      <c r="C202" s="583"/>
      <c r="D202" s="583"/>
      <c r="E202" s="583"/>
      <c r="F202" s="583"/>
      <c r="G202" s="583"/>
      <c r="H202" s="583"/>
      <c r="I202" s="583"/>
      <c r="J202" s="583"/>
      <c r="K202" s="583"/>
      <c r="L202" s="584"/>
      <c r="M202" s="152"/>
      <c r="O202" s="154"/>
      <c r="P202" s="154"/>
    </row>
    <row r="203" spans="1:16" s="3" customFormat="1" x14ac:dyDescent="0.25">
      <c r="A203" s="12"/>
      <c r="B203" s="582"/>
      <c r="C203" s="583"/>
      <c r="D203" s="583"/>
      <c r="E203" s="583"/>
      <c r="F203" s="583"/>
      <c r="G203" s="583"/>
      <c r="H203" s="583"/>
      <c r="I203" s="583"/>
      <c r="J203" s="583"/>
      <c r="K203" s="583"/>
      <c r="L203" s="584"/>
      <c r="M203" s="152"/>
      <c r="O203" s="154"/>
      <c r="P203" s="154"/>
    </row>
    <row r="204" spans="1:16" s="3" customFormat="1" x14ac:dyDescent="0.25">
      <c r="A204" s="12"/>
      <c r="B204" s="582"/>
      <c r="C204" s="583"/>
      <c r="D204" s="583"/>
      <c r="E204" s="583"/>
      <c r="F204" s="583"/>
      <c r="G204" s="583"/>
      <c r="H204" s="583"/>
      <c r="I204" s="583"/>
      <c r="J204" s="583"/>
      <c r="K204" s="583"/>
      <c r="L204" s="584"/>
      <c r="M204" s="152"/>
      <c r="O204" s="154"/>
      <c r="P204" s="154"/>
    </row>
    <row r="205" spans="1:16" x14ac:dyDescent="0.25">
      <c r="B205" s="176"/>
      <c r="C205" s="177"/>
      <c r="D205" s="177"/>
      <c r="E205" s="177"/>
      <c r="F205" s="177"/>
      <c r="G205" s="177"/>
      <c r="H205" s="177"/>
      <c r="I205" s="177"/>
      <c r="J205" s="177"/>
      <c r="K205" s="177"/>
      <c r="L205" s="178"/>
      <c r="M205" s="2"/>
    </row>
    <row r="206" spans="1:16" s="3" customFormat="1" x14ac:dyDescent="0.25">
      <c r="A206" s="12"/>
      <c r="B206" s="183"/>
      <c r="C206" s="183"/>
      <c r="D206" s="183"/>
      <c r="E206" s="184"/>
      <c r="F206" s="184"/>
      <c r="G206" s="184"/>
      <c r="H206" s="184"/>
      <c r="I206" s="184"/>
      <c r="J206" s="184"/>
      <c r="K206" s="184"/>
      <c r="L206" s="184"/>
      <c r="M206" s="168"/>
    </row>
    <row r="207" spans="1:16" x14ac:dyDescent="0.25">
      <c r="B207" s="453" t="str">
        <f>IF(Intro!$G$21="English",O207,P207)</f>
        <v>VENTES RÉGIONALES</v>
      </c>
      <c r="C207" s="454"/>
      <c r="D207" s="454"/>
      <c r="E207" s="454"/>
      <c r="F207" s="454"/>
      <c r="G207" s="454"/>
      <c r="H207" s="454"/>
      <c r="I207" s="454"/>
      <c r="J207" s="454"/>
      <c r="K207" s="454"/>
      <c r="L207" s="455"/>
      <c r="M207" s="2"/>
      <c r="O207" s="199" t="s">
        <v>661</v>
      </c>
      <c r="P207" s="199" t="s">
        <v>662</v>
      </c>
    </row>
    <row r="208" spans="1:16" x14ac:dyDescent="0.25">
      <c r="B208" s="592" t="s">
        <v>37</v>
      </c>
      <c r="C208" s="593"/>
      <c r="D208" s="593"/>
      <c r="E208" s="593"/>
      <c r="F208" s="593"/>
      <c r="G208" s="593"/>
      <c r="H208" s="593"/>
      <c r="I208" s="593"/>
      <c r="J208" s="593"/>
      <c r="K208" s="593"/>
      <c r="L208" s="594"/>
      <c r="M208" s="2"/>
    </row>
    <row r="209" spans="1:16" x14ac:dyDescent="0.25">
      <c r="B209" s="24"/>
      <c r="C209" s="25"/>
      <c r="D209" s="25"/>
      <c r="E209" s="26"/>
      <c r="F209" s="26"/>
      <c r="G209" s="26"/>
      <c r="H209" s="26"/>
      <c r="I209" s="26"/>
      <c r="J209" s="26"/>
      <c r="K209" s="26"/>
      <c r="L209" s="27"/>
      <c r="M209" s="2"/>
    </row>
    <row r="210" spans="1:16" x14ac:dyDescent="0.25">
      <c r="B210" s="456" t="str">
        <f>IF(Intro!$G$21="English",O210,P210)</f>
        <v>Fournissez les volumes des ventes nationales des marchandises fabriquées au Canada par votre entreprise, par région.</v>
      </c>
      <c r="C210" s="457"/>
      <c r="D210" s="457"/>
      <c r="E210" s="457"/>
      <c r="F210" s="457"/>
      <c r="G210" s="457"/>
      <c r="H210" s="457"/>
      <c r="I210" s="457"/>
      <c r="J210" s="457"/>
      <c r="K210" s="457"/>
      <c r="L210" s="458"/>
      <c r="M210" s="2"/>
      <c r="O210" s="11" t="s">
        <v>839</v>
      </c>
      <c r="P210" s="2" t="s">
        <v>840</v>
      </c>
    </row>
    <row r="211" spans="1:16" ht="15" x14ac:dyDescent="0.2">
      <c r="B211" s="159"/>
      <c r="C211" s="160"/>
      <c r="D211" s="25"/>
      <c r="E211" s="26"/>
      <c r="F211" s="26"/>
      <c r="G211" s="26"/>
      <c r="H211" s="26"/>
      <c r="I211" s="26"/>
      <c r="J211" s="26"/>
      <c r="K211" s="26"/>
      <c r="L211" s="27"/>
      <c r="M211" s="2"/>
      <c r="O211" s="11"/>
      <c r="P211" s="303"/>
    </row>
    <row r="212" spans="1:16" x14ac:dyDescent="0.25">
      <c r="B212" s="159"/>
      <c r="C212" s="160"/>
      <c r="D212" s="2"/>
      <c r="E212" s="2"/>
      <c r="F212" s="25"/>
      <c r="G212" s="663">
        <f>Variables!$B$6</f>
        <v>2023</v>
      </c>
      <c r="H212" s="663">
        <f>G212+1</f>
        <v>2024</v>
      </c>
      <c r="I212" s="663">
        <f>H212+1</f>
        <v>2025</v>
      </c>
      <c r="J212" s="663" t="str">
        <f>J138</f>
        <v>janv- mars 2025</v>
      </c>
      <c r="K212" s="663" t="str">
        <f>K138</f>
        <v>janv- mars 2026</v>
      </c>
      <c r="L212" s="179"/>
      <c r="M212" s="2"/>
      <c r="O212" s="11"/>
    </row>
    <row r="213" spans="1:16" x14ac:dyDescent="0.25">
      <c r="B213" s="159"/>
      <c r="C213" s="160"/>
      <c r="D213" s="2"/>
      <c r="E213" s="2"/>
      <c r="F213" s="25"/>
      <c r="G213" s="663"/>
      <c r="H213" s="663"/>
      <c r="I213" s="663"/>
      <c r="J213" s="663"/>
      <c r="K213" s="663"/>
      <c r="L213" s="179"/>
      <c r="M213" s="2"/>
      <c r="O213" s="11"/>
    </row>
    <row r="214" spans="1:16" x14ac:dyDescent="0.25">
      <c r="B214" s="520" t="str">
        <f>IF(Intro!$G$21="English",O214,P214)</f>
        <v>Provinces de l’Atlantique</v>
      </c>
      <c r="C214" s="521"/>
      <c r="D214" s="521"/>
      <c r="E214" s="521"/>
      <c r="F214" s="206" t="s">
        <v>188</v>
      </c>
      <c r="G214" s="270"/>
      <c r="H214" s="270"/>
      <c r="I214" s="270"/>
      <c r="J214" s="270"/>
      <c r="K214" s="270"/>
      <c r="L214" s="179"/>
      <c r="M214" s="2"/>
      <c r="O214" s="2" t="s">
        <v>104</v>
      </c>
      <c r="P214" s="2" t="s">
        <v>105</v>
      </c>
    </row>
    <row r="215" spans="1:16" x14ac:dyDescent="0.25">
      <c r="B215" s="520" t="str">
        <f>IF(Intro!$G$21="English",O215,P215)</f>
        <v>Québec et Ontario</v>
      </c>
      <c r="C215" s="521"/>
      <c r="D215" s="521"/>
      <c r="E215" s="521"/>
      <c r="F215" s="206" t="s">
        <v>188</v>
      </c>
      <c r="G215" s="270"/>
      <c r="H215" s="270"/>
      <c r="I215" s="270"/>
      <c r="J215" s="270"/>
      <c r="K215" s="270"/>
      <c r="L215" s="179"/>
      <c r="M215" s="2"/>
      <c r="O215" s="2" t="s">
        <v>103</v>
      </c>
      <c r="P215" s="2" t="s">
        <v>106</v>
      </c>
    </row>
    <row r="216" spans="1:16" x14ac:dyDescent="0.25">
      <c r="B216" s="520" t="str">
        <f>IF(Intro!$G$21="English",O216,P216)</f>
        <v xml:space="preserve">Manitoba et Saskatchewan </v>
      </c>
      <c r="C216" s="521"/>
      <c r="D216" s="521"/>
      <c r="E216" s="521"/>
      <c r="F216" s="206" t="s">
        <v>188</v>
      </c>
      <c r="G216" s="270"/>
      <c r="H216" s="270"/>
      <c r="I216" s="270"/>
      <c r="J216" s="270"/>
      <c r="K216" s="270"/>
      <c r="L216" s="179"/>
      <c r="M216" s="2"/>
      <c r="O216" s="2" t="s">
        <v>102</v>
      </c>
      <c r="P216" s="2" t="s">
        <v>107</v>
      </c>
    </row>
    <row r="217" spans="1:16" x14ac:dyDescent="0.25">
      <c r="B217" s="520" t="str">
        <f>IF(Intro!$G$21="English",O217,P217)</f>
        <v>Alberta et Colombie-Britannique</v>
      </c>
      <c r="C217" s="521"/>
      <c r="D217" s="521"/>
      <c r="E217" s="521"/>
      <c r="F217" s="206" t="s">
        <v>188</v>
      </c>
      <c r="G217" s="270"/>
      <c r="H217" s="270"/>
      <c r="I217" s="270"/>
      <c r="J217" s="270"/>
      <c r="K217" s="270"/>
      <c r="L217" s="179"/>
      <c r="M217" s="2"/>
      <c r="O217" s="2" t="s">
        <v>101</v>
      </c>
      <c r="P217" s="2" t="s">
        <v>108</v>
      </c>
    </row>
    <row r="218" spans="1:16" x14ac:dyDescent="0.25">
      <c r="B218" s="520" t="str">
        <f>IF(Intro!$G$21="English",O218,P218)</f>
        <v>Nunavut, Yukon et Territoires du Nord-Ouest</v>
      </c>
      <c r="C218" s="521"/>
      <c r="D218" s="521"/>
      <c r="E218" s="521"/>
      <c r="F218" s="206" t="s">
        <v>188</v>
      </c>
      <c r="G218" s="270"/>
      <c r="H218" s="270"/>
      <c r="I218" s="270"/>
      <c r="J218" s="270"/>
      <c r="K218" s="270"/>
      <c r="L218" s="179"/>
      <c r="M218" s="2"/>
      <c r="O218" s="2" t="s">
        <v>100</v>
      </c>
      <c r="P218" s="2" t="s">
        <v>109</v>
      </c>
    </row>
    <row r="219" spans="1:16" s="3" customFormat="1" x14ac:dyDescent="0.25">
      <c r="A219" s="18"/>
      <c r="B219" s="520" t="str">
        <f>IF(Intro!$G$21="English",O219,P219)</f>
        <v>Non Imputé</v>
      </c>
      <c r="C219" s="521"/>
      <c r="D219" s="521"/>
      <c r="E219" s="521"/>
      <c r="F219" s="206" t="s">
        <v>188</v>
      </c>
      <c r="G219" s="278">
        <f>100-SUM(G214:G218)</f>
        <v>100</v>
      </c>
      <c r="H219" s="278">
        <f t="shared" ref="H219:I219" si="13">100-SUM(H214:H218)</f>
        <v>100</v>
      </c>
      <c r="I219" s="278">
        <f t="shared" si="13"/>
        <v>100</v>
      </c>
      <c r="J219" s="278">
        <f t="shared" ref="J219:K219" si="14">100-SUM(J214:J218)</f>
        <v>100</v>
      </c>
      <c r="K219" s="278">
        <f t="shared" si="14"/>
        <v>100</v>
      </c>
      <c r="L219" s="179"/>
      <c r="O219" s="3" t="s">
        <v>434</v>
      </c>
      <c r="P219" s="3" t="s">
        <v>598</v>
      </c>
    </row>
    <row r="220" spans="1:16" x14ac:dyDescent="0.25">
      <c r="B220" s="176"/>
      <c r="C220" s="177"/>
      <c r="D220" s="177"/>
      <c r="E220" s="177"/>
      <c r="F220" s="177"/>
      <c r="G220" s="177"/>
      <c r="H220" s="177"/>
      <c r="I220" s="177"/>
      <c r="J220" s="177"/>
      <c r="K220" s="177"/>
      <c r="L220" s="178"/>
      <c r="M220" s="2"/>
    </row>
    <row r="221" spans="1:16" x14ac:dyDescent="0.25">
      <c r="B221" s="171"/>
      <c r="C221" s="171"/>
      <c r="D221" s="171"/>
      <c r="E221" s="171"/>
      <c r="F221" s="171"/>
      <c r="G221" s="171"/>
      <c r="H221" s="171"/>
      <c r="I221" s="171"/>
      <c r="J221" s="171"/>
      <c r="K221" s="171"/>
      <c r="L221" s="171"/>
      <c r="M221" s="2"/>
    </row>
    <row r="222" spans="1:16" x14ac:dyDescent="0.25">
      <c r="B222" s="453" t="str">
        <f>IF(Intro!$G$21="English",O222,P222)</f>
        <v>VENTES AU CANADA DE LA PRODUCTION NATIONALE À VOS CINQ PLUS IMPORTANTS CLIENTS</v>
      </c>
      <c r="C222" s="454"/>
      <c r="D222" s="454"/>
      <c r="E222" s="454"/>
      <c r="F222" s="454"/>
      <c r="G222" s="454"/>
      <c r="H222" s="454"/>
      <c r="I222" s="454"/>
      <c r="J222" s="454"/>
      <c r="K222" s="454"/>
      <c r="L222" s="455"/>
      <c r="M222" s="2"/>
      <c r="O222" s="2" t="s">
        <v>127</v>
      </c>
      <c r="P222" s="2" t="s">
        <v>126</v>
      </c>
    </row>
    <row r="223" spans="1:16" x14ac:dyDescent="0.25">
      <c r="B223" s="592" t="s">
        <v>38</v>
      </c>
      <c r="C223" s="593"/>
      <c r="D223" s="593"/>
      <c r="E223" s="593"/>
      <c r="F223" s="593"/>
      <c r="G223" s="593"/>
      <c r="H223" s="593"/>
      <c r="I223" s="593"/>
      <c r="J223" s="593"/>
      <c r="K223" s="593"/>
      <c r="L223" s="594"/>
      <c r="M223" s="2"/>
    </row>
    <row r="224" spans="1:16" x14ac:dyDescent="0.25">
      <c r="B224" s="24"/>
      <c r="C224" s="25"/>
      <c r="D224" s="25"/>
      <c r="E224" s="26"/>
      <c r="F224" s="26"/>
      <c r="G224" s="26"/>
      <c r="H224" s="26"/>
      <c r="I224" s="26"/>
      <c r="J224" s="26"/>
      <c r="K224" s="26"/>
      <c r="L224" s="27"/>
      <c r="M224" s="2"/>
    </row>
    <row r="225" spans="2:16" x14ac:dyDescent="0.25">
      <c r="B225" s="456" t="str">
        <f>IF(Intro!$G$21="English",O225,P225)</f>
        <v>Indiquez les cinq plus importants clients de votre entreprise pour les marchandises, par volume produit et vendu au Canada, en 2025.</v>
      </c>
      <c r="C225" s="457"/>
      <c r="D225" s="457"/>
      <c r="E225" s="457"/>
      <c r="F225" s="457"/>
      <c r="G225" s="457"/>
      <c r="H225" s="457"/>
      <c r="I225" s="457"/>
      <c r="J225" s="457"/>
      <c r="K225" s="457"/>
      <c r="L225" s="458"/>
      <c r="M225" s="2"/>
      <c r="O225" s="11" t="str">
        <f>"Identify your firm's five largest accounts for the goods produced and sold in Canada, by volume in 2025."</f>
        <v>Identify your firm's five largest accounts for the goods produced and sold in Canada, by volume in 2025.</v>
      </c>
      <c r="P225" s="2" t="str">
        <f>"Indiquez les cinq plus importants clients de votre entreprise pour les marchandises, par volume produit et vendu au Canada, en 2025."</f>
        <v>Indiquez les cinq plus importants clients de votre entreprise pour les marchandises, par volume produit et vendu au Canada, en 2025.</v>
      </c>
    </row>
    <row r="226" spans="2:16" x14ac:dyDescent="0.25">
      <c r="B226" s="159"/>
      <c r="C226" s="160"/>
      <c r="D226" s="25"/>
      <c r="E226" s="26"/>
      <c r="F226" s="26"/>
      <c r="G226" s="26"/>
      <c r="H226" s="26"/>
      <c r="I226" s="26"/>
      <c r="J226" s="26"/>
      <c r="K226" s="26"/>
      <c r="L226" s="27"/>
      <c r="M226" s="2"/>
      <c r="O226" s="11"/>
    </row>
    <row r="227" spans="2:16" x14ac:dyDescent="0.25">
      <c r="B227" s="203" t="str">
        <f>IF(Intro!$G$21="English",O227,P227)</f>
        <v>Client 1</v>
      </c>
      <c r="C227" s="705"/>
      <c r="D227" s="706"/>
      <c r="E227" s="706"/>
      <c r="F227" s="706"/>
      <c r="G227" s="706"/>
      <c r="H227" s="706"/>
      <c r="I227" s="706"/>
      <c r="J227" s="706"/>
      <c r="K227" s="706"/>
      <c r="L227" s="706"/>
      <c r="M227" s="2"/>
      <c r="O227" s="11" t="s">
        <v>116</v>
      </c>
      <c r="P227" s="2" t="s">
        <v>117</v>
      </c>
    </row>
    <row r="228" spans="2:16" x14ac:dyDescent="0.25">
      <c r="B228" s="203" t="str">
        <f>IF(Intro!$G$21="English",O228,P228)</f>
        <v>Client 2</v>
      </c>
      <c r="C228" s="705"/>
      <c r="D228" s="706"/>
      <c r="E228" s="706"/>
      <c r="F228" s="706"/>
      <c r="G228" s="706"/>
      <c r="H228" s="706"/>
      <c r="I228" s="706"/>
      <c r="J228" s="706"/>
      <c r="K228" s="706"/>
      <c r="L228" s="706"/>
      <c r="M228" s="2"/>
      <c r="O228" s="11" t="s">
        <v>118</v>
      </c>
      <c r="P228" s="2" t="s">
        <v>119</v>
      </c>
    </row>
    <row r="229" spans="2:16" x14ac:dyDescent="0.25">
      <c r="B229" s="203" t="str">
        <f>IF(Intro!$G$21="English",O229,P229)</f>
        <v>Client 3</v>
      </c>
      <c r="C229" s="705"/>
      <c r="D229" s="706"/>
      <c r="E229" s="706"/>
      <c r="F229" s="706"/>
      <c r="G229" s="706"/>
      <c r="H229" s="706"/>
      <c r="I229" s="706"/>
      <c r="J229" s="706"/>
      <c r="K229" s="706"/>
      <c r="L229" s="706"/>
      <c r="M229" s="2"/>
      <c r="O229" s="11" t="s">
        <v>120</v>
      </c>
      <c r="P229" s="2" t="s">
        <v>121</v>
      </c>
    </row>
    <row r="230" spans="2:16" x14ac:dyDescent="0.25">
      <c r="B230" s="203" t="str">
        <f>IF(Intro!$G$21="English",O230,P230)</f>
        <v>Client 4</v>
      </c>
      <c r="C230" s="705"/>
      <c r="D230" s="706"/>
      <c r="E230" s="706"/>
      <c r="F230" s="706"/>
      <c r="G230" s="706"/>
      <c r="H230" s="706"/>
      <c r="I230" s="706"/>
      <c r="J230" s="706"/>
      <c r="K230" s="706"/>
      <c r="L230" s="706"/>
      <c r="M230" s="2"/>
      <c r="O230" s="11" t="s">
        <v>122</v>
      </c>
      <c r="P230" s="2" t="s">
        <v>123</v>
      </c>
    </row>
    <row r="231" spans="2:16" x14ac:dyDescent="0.25">
      <c r="B231" s="203" t="str">
        <f>IF(Intro!$G$21="English",O231,P231)</f>
        <v>Client 5</v>
      </c>
      <c r="C231" s="705"/>
      <c r="D231" s="706"/>
      <c r="E231" s="706"/>
      <c r="F231" s="706"/>
      <c r="G231" s="706"/>
      <c r="H231" s="706"/>
      <c r="I231" s="706"/>
      <c r="J231" s="706"/>
      <c r="K231" s="706"/>
      <c r="L231" s="706"/>
      <c r="M231" s="2"/>
      <c r="O231" s="11" t="s">
        <v>124</v>
      </c>
      <c r="P231" s="2" t="s">
        <v>125</v>
      </c>
    </row>
    <row r="232" spans="2:16" x14ac:dyDescent="0.25">
      <c r="B232" s="159"/>
      <c r="C232" s="160"/>
      <c r="D232" s="25"/>
      <c r="E232" s="26"/>
      <c r="F232" s="26"/>
      <c r="G232" s="26"/>
      <c r="H232" s="26"/>
      <c r="I232" s="26"/>
      <c r="J232" s="26"/>
      <c r="K232" s="26"/>
      <c r="L232" s="27"/>
      <c r="M232" s="2"/>
      <c r="O232" s="11"/>
    </row>
    <row r="233" spans="2:16" x14ac:dyDescent="0.25">
      <c r="B233" s="585" t="s">
        <v>39</v>
      </c>
      <c r="C233" s="586"/>
      <c r="D233" s="586"/>
      <c r="E233" s="586"/>
      <c r="F233" s="586"/>
      <c r="G233" s="586"/>
      <c r="H233" s="586"/>
      <c r="I233" s="586"/>
      <c r="J233" s="586"/>
      <c r="K233" s="586"/>
      <c r="L233" s="587"/>
      <c r="M233" s="2"/>
    </row>
    <row r="234" spans="2:16" x14ac:dyDescent="0.25">
      <c r="B234" s="24"/>
      <c r="C234" s="25"/>
      <c r="D234" s="25"/>
      <c r="E234" s="26"/>
      <c r="F234" s="26"/>
      <c r="G234" s="26"/>
      <c r="H234" s="26"/>
      <c r="I234" s="26"/>
      <c r="J234" s="26"/>
      <c r="K234" s="26"/>
      <c r="L234" s="27"/>
      <c r="M234" s="2"/>
    </row>
    <row r="235" spans="2:16" x14ac:dyDescent="0.25">
      <c r="B235" s="456" t="str">
        <f>IF(Intro!$G$21="English",O235,P235)</f>
        <v>Déclarez le volume et la valeur des ventes intérieures provenant de la production nationale pour chaque client indiqué ci-dessous :</v>
      </c>
      <c r="C235" s="457"/>
      <c r="D235" s="457"/>
      <c r="E235" s="457"/>
      <c r="F235" s="457"/>
      <c r="G235" s="457"/>
      <c r="H235" s="457"/>
      <c r="I235" s="457"/>
      <c r="J235" s="457"/>
      <c r="K235" s="457"/>
      <c r="L235" s="458"/>
      <c r="M235" s="2"/>
      <c r="O235" s="11" t="s">
        <v>419</v>
      </c>
      <c r="P235" s="2" t="s">
        <v>596</v>
      </c>
    </row>
    <row r="236" spans="2:16" x14ac:dyDescent="0.25">
      <c r="B236" s="159"/>
      <c r="C236" s="160"/>
      <c r="D236" s="25"/>
      <c r="E236" s="26"/>
      <c r="F236" s="26"/>
      <c r="G236" s="26"/>
      <c r="H236" s="26"/>
      <c r="I236" s="26"/>
      <c r="J236" s="26"/>
      <c r="K236" s="26"/>
      <c r="L236" s="27"/>
      <c r="M236" s="2"/>
      <c r="O236" s="11"/>
    </row>
    <row r="237" spans="2:16" x14ac:dyDescent="0.25">
      <c r="B237" s="210"/>
      <c r="C237" s="215"/>
      <c r="D237" s="216"/>
      <c r="E237" s="209" t="str">
        <f>IF(Intro!$G$21="English",Variables!B39,Variables!C39)</f>
        <v>T2 - 2024</v>
      </c>
      <c r="F237" s="209" t="str">
        <f>IF(Intro!$G$21="English",Variables!B40,Variables!C40)</f>
        <v>T3 - 2024</v>
      </c>
      <c r="G237" s="209" t="str">
        <f>IF(Intro!$G$21="English",Variables!B41,Variables!C41)</f>
        <v>T4 - 2024</v>
      </c>
      <c r="H237" s="209" t="str">
        <f>IF(Intro!$G$21="English",Variables!B42,Variables!C42)</f>
        <v>T1 - 2025</v>
      </c>
      <c r="I237" s="209" t="str">
        <f>IF(Intro!$G$21="English",Variables!B43,Variables!C43)</f>
        <v>T2 - 2025</v>
      </c>
      <c r="J237" s="209" t="str">
        <f>IF(Intro!$G$21="English",Variables!B44,Variables!C44)</f>
        <v>T3 - 2025</v>
      </c>
      <c r="K237" s="209" t="str">
        <f>IF(Intro!$G$21="English",Variables!B45,Variables!C45)</f>
        <v>T4 - 2025</v>
      </c>
      <c r="L237" s="209" t="str">
        <f>IF(Intro!$G$21="English",Variables!B46,Variables!C46)</f>
        <v>T1 - 2026</v>
      </c>
      <c r="M237" s="2"/>
      <c r="O237" s="11"/>
    </row>
    <row r="238" spans="2:16" x14ac:dyDescent="0.25">
      <c r="B238" s="693" t="str">
        <f>IF(Intro!$G$21="English",O238,P238)</f>
        <v xml:space="preserve">Client 1 - </v>
      </c>
      <c r="C238" s="605"/>
      <c r="D238" s="605"/>
      <c r="E238" s="605"/>
      <c r="F238" s="605"/>
      <c r="G238" s="605"/>
      <c r="H238" s="605"/>
      <c r="I238" s="605"/>
      <c r="J238" s="605"/>
      <c r="K238" s="605"/>
      <c r="L238" s="606"/>
      <c r="M238" s="2"/>
      <c r="O238" s="2" t="str">
        <f>"Account 1 - "&amp;$C227</f>
        <v xml:space="preserve">Account 1 - </v>
      </c>
      <c r="P238" s="2" t="str">
        <f>"Client 1 - "&amp;$C227</f>
        <v xml:space="preserve">Client 1 - </v>
      </c>
    </row>
    <row r="239" spans="2:16" x14ac:dyDescent="0.25">
      <c r="B239" s="691" t="str">
        <f>IF(Intro!$G$21="English",Variables!$B$23,Variables!$C$23)</f>
        <v>tonnes</v>
      </c>
      <c r="C239" s="692"/>
      <c r="D239" s="692"/>
      <c r="E239" s="270"/>
      <c r="F239" s="270"/>
      <c r="G239" s="270"/>
      <c r="H239" s="270"/>
      <c r="I239" s="270"/>
      <c r="J239" s="270"/>
      <c r="K239" s="270"/>
      <c r="L239" s="279"/>
      <c r="M239" s="2"/>
    </row>
    <row r="240" spans="2:16" x14ac:dyDescent="0.25">
      <c r="B240" s="691" t="str">
        <f>IF(Intro!G$21="English","net delivered selling value (CAD)","valeur de vente nette rendue (CAD)")</f>
        <v>valeur de vente nette rendue (CAD)</v>
      </c>
      <c r="C240" s="704"/>
      <c r="D240" s="704"/>
      <c r="E240" s="270"/>
      <c r="F240" s="270"/>
      <c r="G240" s="270"/>
      <c r="H240" s="270"/>
      <c r="I240" s="270"/>
      <c r="J240" s="270"/>
      <c r="K240" s="270"/>
      <c r="L240" s="279"/>
      <c r="M240" s="2"/>
    </row>
    <row r="241" spans="2:16" x14ac:dyDescent="0.25">
      <c r="B241" s="691" t="str">
        <f>"$ / "&amp;IF(Intro!$G$21="English",Variables!$B$24,Variables!$C$24)</f>
        <v>$ / tonne</v>
      </c>
      <c r="C241" s="704"/>
      <c r="D241" s="704"/>
      <c r="E241" s="280" t="str">
        <f>IF(E239=0,"-",E240/E239)</f>
        <v>-</v>
      </c>
      <c r="F241" s="280" t="str">
        <f>IF(F239=0,"-",F240/F239)</f>
        <v>-</v>
      </c>
      <c r="G241" s="280" t="str">
        <f>IF(G239=0,"-",G240/G239)</f>
        <v>-</v>
      </c>
      <c r="H241" s="280" t="str">
        <f t="shared" ref="H241:L241" si="15">IF(H239=0,"-",H240/H239)</f>
        <v>-</v>
      </c>
      <c r="I241" s="280" t="str">
        <f t="shared" si="15"/>
        <v>-</v>
      </c>
      <c r="J241" s="280" t="str">
        <f t="shared" si="15"/>
        <v>-</v>
      </c>
      <c r="K241" s="280" t="str">
        <f t="shared" si="15"/>
        <v>-</v>
      </c>
      <c r="L241" s="281" t="str">
        <f t="shared" si="15"/>
        <v>-</v>
      </c>
      <c r="M241" s="2"/>
    </row>
    <row r="242" spans="2:16" x14ac:dyDescent="0.25">
      <c r="B242" s="693" t="str">
        <f>IF(Intro!$G$21="English",O242,P242)</f>
        <v xml:space="preserve">Client 2 - </v>
      </c>
      <c r="C242" s="605"/>
      <c r="D242" s="605"/>
      <c r="E242" s="605"/>
      <c r="F242" s="605"/>
      <c r="G242" s="605"/>
      <c r="H242" s="605"/>
      <c r="I242" s="605"/>
      <c r="J242" s="605"/>
      <c r="K242" s="605"/>
      <c r="L242" s="606"/>
      <c r="M242" s="2"/>
      <c r="O242" s="2" t="str">
        <f>"Account 2 - "&amp;$C228</f>
        <v xml:space="preserve">Account 2 - </v>
      </c>
      <c r="P242" s="2" t="str">
        <f>"Client 2 - "&amp;$C228</f>
        <v xml:space="preserve">Client 2 - </v>
      </c>
    </row>
    <row r="243" spans="2:16" x14ac:dyDescent="0.25">
      <c r="B243" s="691" t="str">
        <f>IF(Intro!$G$21="English",Variables!$B$23,Variables!$C$23)</f>
        <v>tonnes</v>
      </c>
      <c r="C243" s="692"/>
      <c r="D243" s="692"/>
      <c r="E243" s="270"/>
      <c r="F243" s="270"/>
      <c r="G243" s="270"/>
      <c r="H243" s="270"/>
      <c r="I243" s="270"/>
      <c r="J243" s="270"/>
      <c r="K243" s="270"/>
      <c r="L243" s="279"/>
      <c r="M243" s="2"/>
    </row>
    <row r="244" spans="2:16" x14ac:dyDescent="0.25">
      <c r="B244" s="691" t="str">
        <f>IF(Intro!G$21="English","net delivered selling value (CAD)","valeur de vente nette rendue (CAD)")</f>
        <v>valeur de vente nette rendue (CAD)</v>
      </c>
      <c r="C244" s="704"/>
      <c r="D244" s="704"/>
      <c r="E244" s="270"/>
      <c r="F244" s="270"/>
      <c r="G244" s="270"/>
      <c r="H244" s="270"/>
      <c r="I244" s="270"/>
      <c r="J244" s="270"/>
      <c r="K244" s="270"/>
      <c r="L244" s="279"/>
      <c r="M244" s="2"/>
    </row>
    <row r="245" spans="2:16" x14ac:dyDescent="0.25">
      <c r="B245" s="691" t="str">
        <f>"$ / "&amp;IF(Intro!$G$21="English",Variables!$B$24,Variables!$C$24)</f>
        <v>$ / tonne</v>
      </c>
      <c r="C245" s="704"/>
      <c r="D245" s="704"/>
      <c r="E245" s="280" t="str">
        <f>IF(E243=0,"-",E244/E243)</f>
        <v>-</v>
      </c>
      <c r="F245" s="280" t="str">
        <f t="shared" ref="F245:L245" si="16">IF(F243=0,"-",F244/F243)</f>
        <v>-</v>
      </c>
      <c r="G245" s="280" t="str">
        <f t="shared" si="16"/>
        <v>-</v>
      </c>
      <c r="H245" s="280" t="str">
        <f t="shared" si="16"/>
        <v>-</v>
      </c>
      <c r="I245" s="280" t="str">
        <f t="shared" si="16"/>
        <v>-</v>
      </c>
      <c r="J245" s="280" t="str">
        <f t="shared" si="16"/>
        <v>-</v>
      </c>
      <c r="K245" s="280" t="str">
        <f t="shared" si="16"/>
        <v>-</v>
      </c>
      <c r="L245" s="281" t="str">
        <f t="shared" si="16"/>
        <v>-</v>
      </c>
      <c r="M245" s="2"/>
    </row>
    <row r="246" spans="2:16" x14ac:dyDescent="0.25">
      <c r="B246" s="693" t="str">
        <f>IF(Intro!$G$21="English",O246,P246)</f>
        <v xml:space="preserve">Client 3 - </v>
      </c>
      <c r="C246" s="605"/>
      <c r="D246" s="605"/>
      <c r="E246" s="605"/>
      <c r="F246" s="605"/>
      <c r="G246" s="605"/>
      <c r="H246" s="605"/>
      <c r="I246" s="605"/>
      <c r="J246" s="605"/>
      <c r="K246" s="605"/>
      <c r="L246" s="606"/>
      <c r="M246" s="2"/>
      <c r="O246" s="2" t="str">
        <f>"Account 3 - "&amp;$C229</f>
        <v xml:space="preserve">Account 3 - </v>
      </c>
      <c r="P246" s="2" t="str">
        <f>"Client 3 - "&amp;$C229</f>
        <v xml:space="preserve">Client 3 - </v>
      </c>
    </row>
    <row r="247" spans="2:16" x14ac:dyDescent="0.25">
      <c r="B247" s="691" t="str">
        <f>IF(Intro!$G$21="English",Variables!$B$23,Variables!$C$23)</f>
        <v>tonnes</v>
      </c>
      <c r="C247" s="692"/>
      <c r="D247" s="692"/>
      <c r="E247" s="270"/>
      <c r="F247" s="270"/>
      <c r="G247" s="270"/>
      <c r="H247" s="270"/>
      <c r="I247" s="270"/>
      <c r="J247" s="270"/>
      <c r="K247" s="270"/>
      <c r="L247" s="279"/>
      <c r="M247" s="2"/>
    </row>
    <row r="248" spans="2:16" x14ac:dyDescent="0.25">
      <c r="B248" s="691" t="str">
        <f>IF(Intro!G$21="English","net delivered selling value (CAD)","valeur de vente nette rendue (CAD)")</f>
        <v>valeur de vente nette rendue (CAD)</v>
      </c>
      <c r="C248" s="704"/>
      <c r="D248" s="704"/>
      <c r="E248" s="270"/>
      <c r="F248" s="270"/>
      <c r="G248" s="270"/>
      <c r="H248" s="270"/>
      <c r="I248" s="270"/>
      <c r="J248" s="270"/>
      <c r="K248" s="270"/>
      <c r="L248" s="279"/>
      <c r="M248" s="2"/>
    </row>
    <row r="249" spans="2:16" x14ac:dyDescent="0.25">
      <c r="B249" s="691" t="str">
        <f>"$ / "&amp;IF(Intro!$G$21="English",Variables!$B$24,Variables!$C$24)</f>
        <v>$ / tonne</v>
      </c>
      <c r="C249" s="704"/>
      <c r="D249" s="704"/>
      <c r="E249" s="280" t="str">
        <f>IF(E247=0,"-",E248/E247)</f>
        <v>-</v>
      </c>
      <c r="F249" s="280" t="str">
        <f t="shared" ref="F249:L249" si="17">IF(F247=0,"-",F248/F247)</f>
        <v>-</v>
      </c>
      <c r="G249" s="280" t="str">
        <f t="shared" si="17"/>
        <v>-</v>
      </c>
      <c r="H249" s="280" t="str">
        <f t="shared" si="17"/>
        <v>-</v>
      </c>
      <c r="I249" s="280" t="str">
        <f t="shared" si="17"/>
        <v>-</v>
      </c>
      <c r="J249" s="280" t="str">
        <f t="shared" si="17"/>
        <v>-</v>
      </c>
      <c r="K249" s="280" t="str">
        <f t="shared" si="17"/>
        <v>-</v>
      </c>
      <c r="L249" s="281" t="str">
        <f t="shared" si="17"/>
        <v>-</v>
      </c>
      <c r="M249" s="2"/>
    </row>
    <row r="250" spans="2:16" x14ac:dyDescent="0.25">
      <c r="B250" s="693" t="str">
        <f>IF(Intro!$G$21="English",O250,P250)</f>
        <v xml:space="preserve">Client 4 - </v>
      </c>
      <c r="C250" s="605"/>
      <c r="D250" s="605"/>
      <c r="E250" s="605"/>
      <c r="F250" s="605"/>
      <c r="G250" s="605"/>
      <c r="H250" s="605"/>
      <c r="I250" s="605"/>
      <c r="J250" s="605"/>
      <c r="K250" s="605"/>
      <c r="L250" s="606"/>
      <c r="M250" s="2"/>
      <c r="O250" s="2" t="str">
        <f>"Account 4 - "&amp;$C230</f>
        <v xml:space="preserve">Account 4 - </v>
      </c>
      <c r="P250" s="2" t="str">
        <f>"Client 4 - "&amp;$C230</f>
        <v xml:space="preserve">Client 4 - </v>
      </c>
    </row>
    <row r="251" spans="2:16" x14ac:dyDescent="0.25">
      <c r="B251" s="691" t="str">
        <f>IF(Intro!$G$21="English",Variables!$B$23,Variables!$C$23)</f>
        <v>tonnes</v>
      </c>
      <c r="C251" s="692"/>
      <c r="D251" s="692"/>
      <c r="E251" s="270"/>
      <c r="F251" s="270"/>
      <c r="G251" s="270"/>
      <c r="H251" s="270"/>
      <c r="I251" s="270"/>
      <c r="J251" s="270"/>
      <c r="K251" s="270"/>
      <c r="L251" s="279"/>
      <c r="M251" s="2"/>
    </row>
    <row r="252" spans="2:16" x14ac:dyDescent="0.25">
      <c r="B252" s="691" t="str">
        <f>IF(Intro!G$21="English","net delivered selling value (CAD)","valeur de vente nette rendue (CAD)")</f>
        <v>valeur de vente nette rendue (CAD)</v>
      </c>
      <c r="C252" s="704"/>
      <c r="D252" s="704"/>
      <c r="E252" s="270"/>
      <c r="F252" s="270"/>
      <c r="G252" s="270"/>
      <c r="H252" s="270"/>
      <c r="I252" s="270"/>
      <c r="J252" s="270"/>
      <c r="K252" s="270"/>
      <c r="L252" s="279"/>
      <c r="M252" s="2"/>
    </row>
    <row r="253" spans="2:16" x14ac:dyDescent="0.25">
      <c r="B253" s="691" t="str">
        <f>"$ / "&amp;IF(Intro!$G$21="English",Variables!$B$24,Variables!$C$24)</f>
        <v>$ / tonne</v>
      </c>
      <c r="C253" s="704"/>
      <c r="D253" s="704"/>
      <c r="E253" s="280" t="str">
        <f>IF(E251=0,"-",E252/E251)</f>
        <v>-</v>
      </c>
      <c r="F253" s="280" t="str">
        <f t="shared" ref="F253:L253" si="18">IF(F251=0,"-",F252/F251)</f>
        <v>-</v>
      </c>
      <c r="G253" s="280" t="str">
        <f t="shared" si="18"/>
        <v>-</v>
      </c>
      <c r="H253" s="280" t="str">
        <f t="shared" si="18"/>
        <v>-</v>
      </c>
      <c r="I253" s="280" t="str">
        <f t="shared" si="18"/>
        <v>-</v>
      </c>
      <c r="J253" s="280" t="str">
        <f t="shared" si="18"/>
        <v>-</v>
      </c>
      <c r="K253" s="280" t="str">
        <f t="shared" si="18"/>
        <v>-</v>
      </c>
      <c r="L253" s="281" t="str">
        <f t="shared" si="18"/>
        <v>-</v>
      </c>
      <c r="M253" s="2"/>
    </row>
    <row r="254" spans="2:16" x14ac:dyDescent="0.25">
      <c r="B254" s="693" t="str">
        <f>IF(Intro!$G$21="English",O254,P254)</f>
        <v xml:space="preserve">Client 5 - </v>
      </c>
      <c r="C254" s="605"/>
      <c r="D254" s="605"/>
      <c r="E254" s="605"/>
      <c r="F254" s="605"/>
      <c r="G254" s="605"/>
      <c r="H254" s="605"/>
      <c r="I254" s="605"/>
      <c r="J254" s="605"/>
      <c r="K254" s="605"/>
      <c r="L254" s="606"/>
      <c r="M254" s="2"/>
      <c r="O254" s="2" t="str">
        <f>"Account 5 - "&amp;$C231</f>
        <v xml:space="preserve">Account 5 - </v>
      </c>
      <c r="P254" s="2" t="str">
        <f>"Client 5 - "&amp;$C231</f>
        <v xml:space="preserve">Client 5 - </v>
      </c>
    </row>
    <row r="255" spans="2:16" x14ac:dyDescent="0.25">
      <c r="B255" s="691" t="str">
        <f>IF(Intro!$G$21="English",Variables!$B$23,Variables!$C$23)</f>
        <v>tonnes</v>
      </c>
      <c r="C255" s="692"/>
      <c r="D255" s="692"/>
      <c r="E255" s="270"/>
      <c r="F255" s="270"/>
      <c r="G255" s="270"/>
      <c r="H255" s="270"/>
      <c r="I255" s="270"/>
      <c r="J255" s="270"/>
      <c r="K255" s="270"/>
      <c r="L255" s="279"/>
      <c r="M255" s="2"/>
    </row>
    <row r="256" spans="2:16" x14ac:dyDescent="0.25">
      <c r="B256" s="691" t="str">
        <f>IF(Intro!G$21="English","net delivered selling value (CAD)","valeur de vente nette rendue (CAD)")</f>
        <v>valeur de vente nette rendue (CAD)</v>
      </c>
      <c r="C256" s="704"/>
      <c r="D256" s="704"/>
      <c r="E256" s="270"/>
      <c r="F256" s="270"/>
      <c r="G256" s="270"/>
      <c r="H256" s="270"/>
      <c r="I256" s="270"/>
      <c r="J256" s="270"/>
      <c r="K256" s="270"/>
      <c r="L256" s="279"/>
      <c r="M256" s="2"/>
    </row>
    <row r="257" spans="2:19" x14ac:dyDescent="0.25">
      <c r="B257" s="691" t="str">
        <f>"$ / "&amp;IF(Intro!$G$21="English",Variables!$B$24,Variables!$C$24)</f>
        <v>$ / tonne</v>
      </c>
      <c r="C257" s="704"/>
      <c r="D257" s="704"/>
      <c r="E257" s="280" t="str">
        <f>IF(E255=0,"-",E256/E255)</f>
        <v>-</v>
      </c>
      <c r="F257" s="280" t="str">
        <f t="shared" ref="F257:L257" si="19">IF(F255=0,"-",F256/F255)</f>
        <v>-</v>
      </c>
      <c r="G257" s="280" t="str">
        <f t="shared" si="19"/>
        <v>-</v>
      </c>
      <c r="H257" s="280" t="str">
        <f t="shared" si="19"/>
        <v>-</v>
      </c>
      <c r="I257" s="280" t="str">
        <f t="shared" si="19"/>
        <v>-</v>
      </c>
      <c r="J257" s="280" t="str">
        <f t="shared" si="19"/>
        <v>-</v>
      </c>
      <c r="K257" s="280" t="str">
        <f t="shared" si="19"/>
        <v>-</v>
      </c>
      <c r="L257" s="281" t="str">
        <f t="shared" si="19"/>
        <v>-</v>
      </c>
      <c r="M257" s="2"/>
    </row>
    <row r="258" spans="2:19" x14ac:dyDescent="0.25">
      <c r="B258" s="159"/>
      <c r="C258" s="160"/>
      <c r="D258" s="160"/>
      <c r="E258" s="29"/>
      <c r="F258" s="29"/>
      <c r="G258" s="29"/>
      <c r="H258" s="29"/>
      <c r="I258" s="29"/>
      <c r="J258" s="29"/>
      <c r="K258" s="29"/>
      <c r="L258" s="30"/>
      <c r="M258" s="2"/>
    </row>
    <row r="259" spans="2:19" x14ac:dyDescent="0.25">
      <c r="B259" s="456" t="str">
        <f>IF(Intro!$G$21="English",O259,P259)</f>
        <v>Dans le tableau ci-dessous, « Erreur » signifie que le total des ventes des cinq principaux clients de votre entreprise pour cette période dépasse le total des ventes nationales de votre entreprise pour cette période. Par conséquent, veuillez modifier les données ci-dessus.</v>
      </c>
      <c r="C259" s="457"/>
      <c r="D259" s="457"/>
      <c r="E259" s="457"/>
      <c r="F259" s="457"/>
      <c r="G259" s="457"/>
      <c r="H259" s="457"/>
      <c r="I259" s="457"/>
      <c r="J259" s="457"/>
      <c r="K259" s="457"/>
      <c r="L259" s="458"/>
      <c r="M259" s="2"/>
      <c r="O259" s="2" t="s">
        <v>417</v>
      </c>
      <c r="P259" s="2" t="s">
        <v>599</v>
      </c>
      <c r="Q259" s="152"/>
      <c r="R259" s="152"/>
      <c r="S259" s="152"/>
    </row>
    <row r="260" spans="2:19" x14ac:dyDescent="0.25">
      <c r="B260" s="456"/>
      <c r="C260" s="457"/>
      <c r="D260" s="457"/>
      <c r="E260" s="457"/>
      <c r="F260" s="457"/>
      <c r="G260" s="457"/>
      <c r="H260" s="457"/>
      <c r="I260" s="457"/>
      <c r="J260" s="457"/>
      <c r="K260" s="457"/>
      <c r="L260" s="458"/>
      <c r="M260" s="2"/>
      <c r="Q260" s="152"/>
      <c r="R260" s="152"/>
      <c r="S260" s="152"/>
    </row>
    <row r="261" spans="2:19" x14ac:dyDescent="0.25">
      <c r="B261" s="159"/>
      <c r="C261" s="160"/>
      <c r="D261" s="160"/>
      <c r="E261" s="29"/>
      <c r="F261" s="29"/>
      <c r="G261" s="29"/>
      <c r="H261" s="29"/>
      <c r="I261" s="29"/>
      <c r="J261" s="29"/>
      <c r="K261" s="29"/>
      <c r="L261" s="30"/>
      <c r="M261" s="2"/>
      <c r="Q261" s="152"/>
      <c r="R261" s="152"/>
      <c r="S261" s="152"/>
    </row>
    <row r="262" spans="2:19" x14ac:dyDescent="0.25">
      <c r="B262" s="664" t="str">
        <f>IF(Intro!$G$21="English",O263,P263)</f>
        <v>Vérification - volume</v>
      </c>
      <c r="C262" s="665"/>
      <c r="D262" s="665"/>
      <c r="E262" s="666"/>
      <c r="F262" s="286" t="str">
        <f>IF(Intro!$G$21="English",O262,P262)</f>
        <v>avril-déc. 2024</v>
      </c>
      <c r="G262" s="286">
        <f>I212</f>
        <v>2025</v>
      </c>
      <c r="H262" s="286" t="str">
        <f>K212</f>
        <v>janv- mars 2026</v>
      </c>
      <c r="I262" s="152"/>
      <c r="J262" s="29"/>
      <c r="K262" s="29"/>
      <c r="L262" s="30"/>
      <c r="M262" s="2"/>
      <c r="O262" s="269" t="s">
        <v>878</v>
      </c>
      <c r="P262" s="269" t="s">
        <v>879</v>
      </c>
    </row>
    <row r="263" spans="2:19" ht="14.1" customHeight="1" x14ac:dyDescent="0.25">
      <c r="B263" s="667" t="str">
        <f>IF(Intro!$G$21="English",Variables!$B$23,Variables!$C$23)</f>
        <v>tonnes</v>
      </c>
      <c r="C263" s="668"/>
      <c r="D263" s="668"/>
      <c r="E263" s="669"/>
      <c r="F263" s="285" t="str">
        <f>IF(SUM(E239:G239,E243:G243,E247:G247,E251:G251,E255:G255)&gt;SUM(H28,H31),Variables!D62,Variables!D63)</f>
        <v>Correct</v>
      </c>
      <c r="G263" s="285" t="str">
        <f>IF(SUM(H239:K239,H243:K243,H247:K247,H251:K251,H255:K255)&gt;SUM(I28,I31),Variables!D62,Variables!D63)</f>
        <v>Correct</v>
      </c>
      <c r="H263" s="285" t="str">
        <f>IF(SUM(L239,L243,L247,L251,L255)&gt;SUM(K28,K31),Variables!D62,Variables!D63)</f>
        <v>Correct</v>
      </c>
      <c r="I263" s="152"/>
      <c r="J263" s="29"/>
      <c r="K263" s="29"/>
      <c r="L263" s="30"/>
      <c r="M263" s="2"/>
      <c r="O263" s="2" t="s">
        <v>760</v>
      </c>
      <c r="P263" s="2" t="s">
        <v>761</v>
      </c>
    </row>
    <row r="264" spans="2:19" ht="14.1" customHeight="1" x14ac:dyDescent="0.25">
      <c r="B264" s="670" t="str">
        <f>IF(Intro!$G$21="English",O264,P264)</f>
        <v>volume - total des ventes au Canada de la production nationale aux cinq principaux clients (Question 14)</v>
      </c>
      <c r="C264" s="671"/>
      <c r="D264" s="671"/>
      <c r="E264" s="672"/>
      <c r="F264" s="694">
        <f>SUM(E239:G239,E243:G243,E247:G247,E251:G251,E255:G255)</f>
        <v>0</v>
      </c>
      <c r="G264" s="694">
        <f>SUM(H239:K239,H243:K243,H247:K247,H251:K251,H255:K255)</f>
        <v>0</v>
      </c>
      <c r="H264" s="694">
        <f>SUM(L239,L243,L247,L251,L255)</f>
        <v>0</v>
      </c>
      <c r="I264" s="152"/>
      <c r="J264" s="29"/>
      <c r="K264" s="29"/>
      <c r="L264" s="30"/>
      <c r="M264" s="2"/>
      <c r="O264" s="2" t="s">
        <v>764</v>
      </c>
      <c r="P264" s="2" t="s">
        <v>773</v>
      </c>
    </row>
    <row r="265" spans="2:19" x14ac:dyDescent="0.25">
      <c r="B265" s="673"/>
      <c r="C265" s="674"/>
      <c r="D265" s="674"/>
      <c r="E265" s="675"/>
      <c r="F265" s="694"/>
      <c r="G265" s="694"/>
      <c r="H265" s="694"/>
      <c r="I265" s="152"/>
      <c r="J265" s="29"/>
      <c r="K265" s="29"/>
      <c r="L265" s="30"/>
      <c r="M265" s="2"/>
    </row>
    <row r="266" spans="2:19" ht="14.1" customHeight="1" x14ac:dyDescent="0.25">
      <c r="B266" s="676" t="str">
        <f>IF(Intro!$G$21="English",O266,P266)</f>
        <v>volume - total des ventes au Canada de la production nationale (Question 1)</v>
      </c>
      <c r="C266" s="677"/>
      <c r="D266" s="677"/>
      <c r="E266" s="678"/>
      <c r="F266" s="694">
        <f>SUM(H28,H31)</f>
        <v>0</v>
      </c>
      <c r="G266" s="694">
        <f>SUM(I28,I31)</f>
        <v>0</v>
      </c>
      <c r="H266" s="694">
        <f>SUM(K28,K31)</f>
        <v>0</v>
      </c>
      <c r="I266" s="152"/>
      <c r="J266" s="29"/>
      <c r="K266" s="29"/>
      <c r="L266" s="30"/>
      <c r="M266" s="2"/>
      <c r="O266" s="2" t="s">
        <v>765</v>
      </c>
      <c r="P266" s="2" t="s">
        <v>774</v>
      </c>
    </row>
    <row r="267" spans="2:19" x14ac:dyDescent="0.25">
      <c r="B267" s="679"/>
      <c r="C267" s="680"/>
      <c r="D267" s="680"/>
      <c r="E267" s="681"/>
      <c r="F267" s="694"/>
      <c r="G267" s="694"/>
      <c r="H267" s="694"/>
      <c r="I267" s="152"/>
      <c r="J267" s="29"/>
      <c r="K267" s="29"/>
      <c r="L267" s="30"/>
      <c r="M267" s="2"/>
    </row>
    <row r="268" spans="2:19" x14ac:dyDescent="0.25">
      <c r="B268" s="697" t="str">
        <f>IF(Intro!$G$21="English",O269,P269)</f>
        <v>Vérification - valeur</v>
      </c>
      <c r="C268" s="698"/>
      <c r="D268" s="698"/>
      <c r="E268" s="699"/>
      <c r="F268" s="209" t="str">
        <f>F262</f>
        <v>avril-déc. 2024</v>
      </c>
      <c r="G268" s="209">
        <f t="shared" ref="G268:H268" si="20">G262</f>
        <v>2025</v>
      </c>
      <c r="H268" s="209" t="str">
        <f t="shared" si="20"/>
        <v>janv- mars 2026</v>
      </c>
      <c r="I268" s="152"/>
      <c r="J268" s="29"/>
      <c r="K268" s="29"/>
      <c r="L268" s="30"/>
      <c r="M268" s="2"/>
    </row>
    <row r="269" spans="2:19" ht="14.1" customHeight="1" x14ac:dyDescent="0.25">
      <c r="B269" s="667" t="str">
        <f>IF(Intro!G$21="English","net delivered selling value (CAD)","valeur de vente nette rendue (CAD)")</f>
        <v>valeur de vente nette rendue (CAD)</v>
      </c>
      <c r="C269" s="668"/>
      <c r="D269" s="668"/>
      <c r="E269" s="669"/>
      <c r="F269" s="285" t="str">
        <f>IF(SUM(E240:G240,E244:G244,E248:G248,E252:G252,E256:G256)&gt;SUM(H29,H32),Variables!D66,Variables!D67)</f>
        <v>Correct</v>
      </c>
      <c r="G269" s="285" t="str">
        <f>IF(SUM(H240:K240,H244:K244,H248:K248,H252:K252,H256:K256)&gt;SUM(I29,I32),Variables!D66,Variables!D67)</f>
        <v>Correct</v>
      </c>
      <c r="H269" s="285" t="str">
        <f>IF(SUM(L240,L244,L248,L252,L256)&gt;SUM(K29,K32),Variables!D66,Variables!D67)</f>
        <v>Correct</v>
      </c>
      <c r="I269" s="152"/>
      <c r="J269" s="29"/>
      <c r="K269" s="29"/>
      <c r="L269" s="30"/>
      <c r="M269" s="2"/>
      <c r="O269" s="2" t="s">
        <v>762</v>
      </c>
      <c r="P269" s="2" t="s">
        <v>763</v>
      </c>
    </row>
    <row r="270" spans="2:19" ht="14.1" customHeight="1" x14ac:dyDescent="0.25">
      <c r="B270" s="670" t="str">
        <f>IF(Intro!$G$21="English",O270,P270)</f>
        <v>valeur - total des ventes au Canada de la production nationale aux cinq principaux clients (Question 14)</v>
      </c>
      <c r="C270" s="671"/>
      <c r="D270" s="671"/>
      <c r="E270" s="672"/>
      <c r="F270" s="694">
        <f>SUM(E240:G240,E244:G244,E248:G248,E252:G252,E256:G256)</f>
        <v>0</v>
      </c>
      <c r="G270" s="694">
        <f>SUM(H240:K240,H244:K244,H248:K248,H252:K252,H256:K256)</f>
        <v>0</v>
      </c>
      <c r="H270" s="694">
        <f>SUM(L240,L244,L248,L252,L256)</f>
        <v>0</v>
      </c>
      <c r="I270" s="152"/>
      <c r="J270" s="29"/>
      <c r="K270" s="29"/>
      <c r="L270" s="30"/>
      <c r="M270" s="2"/>
      <c r="O270" s="2" t="s">
        <v>772</v>
      </c>
      <c r="P270" s="2" t="s">
        <v>776</v>
      </c>
    </row>
    <row r="271" spans="2:19" x14ac:dyDescent="0.25">
      <c r="B271" s="673"/>
      <c r="C271" s="674"/>
      <c r="D271" s="674"/>
      <c r="E271" s="675"/>
      <c r="F271" s="694"/>
      <c r="G271" s="694"/>
      <c r="H271" s="694"/>
      <c r="I271" s="152"/>
      <c r="J271" s="29"/>
      <c r="K271" s="29"/>
      <c r="L271" s="30"/>
      <c r="M271" s="2"/>
    </row>
    <row r="272" spans="2:19" ht="14.1" customHeight="1" x14ac:dyDescent="0.25">
      <c r="B272" s="676" t="str">
        <f>IF(Intro!$G$21="English",O272,P272)</f>
        <v>valeur - total des ventes au Canada de la production nationale (Question 1)</v>
      </c>
      <c r="C272" s="677"/>
      <c r="D272" s="677"/>
      <c r="E272" s="678"/>
      <c r="F272" s="694">
        <f>SUM(H29,H32)</f>
        <v>0</v>
      </c>
      <c r="G272" s="694">
        <f>SUM(I29,I32)</f>
        <v>0</v>
      </c>
      <c r="H272" s="694">
        <f>SUM(K29,K32)</f>
        <v>0</v>
      </c>
      <c r="I272" s="152"/>
      <c r="J272" s="29"/>
      <c r="K272" s="29"/>
      <c r="L272" s="30"/>
      <c r="M272" s="2"/>
      <c r="O272" s="2" t="s">
        <v>775</v>
      </c>
      <c r="P272" s="2" t="s">
        <v>777</v>
      </c>
    </row>
    <row r="273" spans="1:16" x14ac:dyDescent="0.25">
      <c r="B273" s="682"/>
      <c r="C273" s="683"/>
      <c r="D273" s="683"/>
      <c r="E273" s="684"/>
      <c r="F273" s="694"/>
      <c r="G273" s="694"/>
      <c r="H273" s="694"/>
      <c r="I273" s="152"/>
      <c r="J273" s="29"/>
      <c r="K273" s="29"/>
      <c r="L273" s="30"/>
      <c r="M273" s="2"/>
    </row>
    <row r="274" spans="1:16" x14ac:dyDescent="0.25">
      <c r="B274" s="176"/>
      <c r="C274" s="177"/>
      <c r="D274" s="177"/>
      <c r="E274" s="177"/>
      <c r="F274" s="177"/>
      <c r="G274" s="177"/>
      <c r="H274" s="177"/>
      <c r="I274" s="177"/>
      <c r="J274" s="177"/>
      <c r="K274" s="177"/>
      <c r="L274" s="178"/>
      <c r="M274" s="2"/>
    </row>
    <row r="275" spans="1:16" s="3" customFormat="1" x14ac:dyDescent="0.25">
      <c r="A275" s="12"/>
      <c r="B275" s="31"/>
      <c r="C275" s="31"/>
      <c r="D275" s="183"/>
      <c r="E275" s="184"/>
      <c r="F275" s="184"/>
      <c r="G275" s="184"/>
      <c r="H275" s="184"/>
      <c r="I275" s="184"/>
      <c r="J275" s="184"/>
      <c r="K275" s="184"/>
      <c r="L275" s="184"/>
      <c r="M275" s="168"/>
    </row>
    <row r="276" spans="1:16" x14ac:dyDescent="0.25">
      <c r="B276" s="453" t="str">
        <f>IF(Intro!$G$21="English",O276,P276)</f>
        <v>VENTES AU CANADA DE LA PRODUCTION NATIONALE DE PRODUITS DE RÉFÉRENCE</v>
      </c>
      <c r="C276" s="454"/>
      <c r="D276" s="454"/>
      <c r="E276" s="454"/>
      <c r="F276" s="454"/>
      <c r="G276" s="454"/>
      <c r="H276" s="454"/>
      <c r="I276" s="454"/>
      <c r="J276" s="454"/>
      <c r="K276" s="454"/>
      <c r="L276" s="455"/>
      <c r="M276" s="2"/>
      <c r="O276" s="2" t="s">
        <v>692</v>
      </c>
      <c r="P276" s="2" t="s">
        <v>693</v>
      </c>
    </row>
    <row r="277" spans="1:16" x14ac:dyDescent="0.25">
      <c r="B277" s="592" t="s">
        <v>294</v>
      </c>
      <c r="C277" s="593"/>
      <c r="D277" s="593"/>
      <c r="E277" s="593"/>
      <c r="F277" s="593"/>
      <c r="G277" s="593"/>
      <c r="H277" s="593"/>
      <c r="I277" s="593"/>
      <c r="J277" s="593"/>
      <c r="K277" s="593"/>
      <c r="L277" s="594"/>
      <c r="M277" s="2"/>
    </row>
    <row r="278" spans="1:16" x14ac:dyDescent="0.25">
      <c r="B278" s="24"/>
      <c r="C278" s="25"/>
      <c r="D278" s="25"/>
      <c r="E278" s="26"/>
      <c r="F278" s="26"/>
      <c r="G278" s="26"/>
      <c r="H278" s="26"/>
      <c r="I278" s="26"/>
      <c r="J278" s="26"/>
      <c r="K278" s="26"/>
      <c r="L278" s="27"/>
      <c r="M278" s="2"/>
    </row>
    <row r="279" spans="1:16" x14ac:dyDescent="0.25">
      <c r="B279" s="456" t="str">
        <f>IF(Intro!$G$21="English",O279,P279)</f>
        <v>Indiquez le volume et la valeur des ventes intérieures provenant de la production nationale pour chaque produit de référence :</v>
      </c>
      <c r="C279" s="457"/>
      <c r="D279" s="457"/>
      <c r="E279" s="457"/>
      <c r="F279" s="457"/>
      <c r="G279" s="457"/>
      <c r="H279" s="457"/>
      <c r="I279" s="457"/>
      <c r="J279" s="457"/>
      <c r="K279" s="457"/>
      <c r="L279" s="458"/>
      <c r="M279" s="2"/>
      <c r="O279" s="11" t="s">
        <v>420</v>
      </c>
      <c r="P279" s="2" t="s">
        <v>360</v>
      </c>
    </row>
    <row r="280" spans="1:16" x14ac:dyDescent="0.25">
      <c r="B280" s="159"/>
      <c r="C280" s="160"/>
      <c r="D280" s="25"/>
      <c r="E280" s="26"/>
      <c r="F280" s="26"/>
      <c r="G280" s="26"/>
      <c r="H280" s="26"/>
      <c r="I280" s="26"/>
      <c r="J280" s="26"/>
      <c r="K280" s="26"/>
      <c r="L280" s="27"/>
      <c r="M280" s="2"/>
      <c r="O280" s="11"/>
    </row>
    <row r="281" spans="1:16" x14ac:dyDescent="0.25">
      <c r="B281" s="210"/>
      <c r="C281" s="215"/>
      <c r="D281" s="216"/>
      <c r="E281" s="209" t="str">
        <f>E237</f>
        <v>T2 - 2024</v>
      </c>
      <c r="F281" s="209" t="str">
        <f t="shared" ref="F281:L281" si="21">F237</f>
        <v>T3 - 2024</v>
      </c>
      <c r="G281" s="209" t="str">
        <f t="shared" si="21"/>
        <v>T4 - 2024</v>
      </c>
      <c r="H281" s="209" t="str">
        <f t="shared" si="21"/>
        <v>T1 - 2025</v>
      </c>
      <c r="I281" s="209" t="str">
        <f t="shared" si="21"/>
        <v>T2 - 2025</v>
      </c>
      <c r="J281" s="209" t="str">
        <f t="shared" si="21"/>
        <v>T3 - 2025</v>
      </c>
      <c r="K281" s="209" t="str">
        <f t="shared" si="21"/>
        <v>T4 - 2025</v>
      </c>
      <c r="L281" s="213" t="str">
        <f t="shared" si="21"/>
        <v>T1 - 2026</v>
      </c>
      <c r="M281" s="2"/>
      <c r="O281" s="11"/>
    </row>
    <row r="282" spans="1:16" x14ac:dyDescent="0.25">
      <c r="B282" s="693" t="str">
        <f>IF(Intro!$G$21="English",O284,P284)</f>
        <v>Poutre à gradin formée à froid  en acier de calibre 12 à 16, de toute longueur, incluant le connecteur/support de poutre, quels que soient le profil ou le type de raccord.</v>
      </c>
      <c r="C282" s="605"/>
      <c r="D282" s="605"/>
      <c r="E282" s="605"/>
      <c r="F282" s="605"/>
      <c r="G282" s="605"/>
      <c r="H282" s="605"/>
      <c r="I282" s="605"/>
      <c r="J282" s="605"/>
      <c r="K282" s="605"/>
      <c r="L282" s="606"/>
      <c r="M282" s="2"/>
      <c r="O282" s="11"/>
    </row>
    <row r="283" spans="1:16" x14ac:dyDescent="0.25">
      <c r="B283" s="693"/>
      <c r="C283" s="605"/>
      <c r="D283" s="605"/>
      <c r="E283" s="605"/>
      <c r="F283" s="605"/>
      <c r="G283" s="605"/>
      <c r="H283" s="605"/>
      <c r="I283" s="605"/>
      <c r="J283" s="605"/>
      <c r="K283" s="605"/>
      <c r="L283" s="606"/>
      <c r="M283" s="2"/>
      <c r="O283" s="11"/>
    </row>
    <row r="284" spans="1:16" x14ac:dyDescent="0.25">
      <c r="B284" s="691" t="str">
        <f>IF(Intro!$G$21="English",Variables!$B$23,Variables!$C$23)</f>
        <v>tonnes</v>
      </c>
      <c r="C284" s="692"/>
      <c r="D284" s="692"/>
      <c r="E284" s="270"/>
      <c r="F284" s="270"/>
      <c r="G284" s="270"/>
      <c r="H284" s="270"/>
      <c r="I284" s="270"/>
      <c r="J284" s="270"/>
      <c r="K284" s="270"/>
      <c r="L284" s="279"/>
      <c r="M284" s="2"/>
      <c r="O284" s="2" t="str">
        <f>Variables!B29</f>
        <v>Roll formed step beam of 12–16 gauge steel, of any length, including beam connector/bracket, regardless of profile or connection type.</v>
      </c>
      <c r="P284" s="2" t="str">
        <f>Variables!C29</f>
        <v>Poutre à gradin formée à froid  en acier de calibre 12 à 16, de toute longueur, incluant le connecteur/support de poutre, quels que soient le profil ou le type de raccord.</v>
      </c>
    </row>
    <row r="285" spans="1:16" x14ac:dyDescent="0.25">
      <c r="B285" s="691" t="str">
        <f>IF(Intro!G$21="English","net delivered selling value (CAD)","valeur de vente nette rendue (CAD)")</f>
        <v>valeur de vente nette rendue (CAD)</v>
      </c>
      <c r="C285" s="692"/>
      <c r="D285" s="692"/>
      <c r="E285" s="270"/>
      <c r="F285" s="270"/>
      <c r="G285" s="270"/>
      <c r="H285" s="270"/>
      <c r="I285" s="270"/>
      <c r="J285" s="270"/>
      <c r="K285" s="270"/>
      <c r="L285" s="279"/>
      <c r="M285" s="2"/>
    </row>
    <row r="286" spans="1:16" x14ac:dyDescent="0.25">
      <c r="B286" s="691" t="str">
        <f>"$ / "&amp;IF(Intro!$G$21="English",Variables!$B$24,Variables!$C$24)</f>
        <v>$ / tonne</v>
      </c>
      <c r="C286" s="692"/>
      <c r="D286" s="692"/>
      <c r="E286" s="280" t="str">
        <f>IF(E284=0,"-",E285/E284)</f>
        <v>-</v>
      </c>
      <c r="F286" s="280" t="str">
        <f t="shared" ref="F286:L286" si="22">IF(F284=0,"-",F285/F284)</f>
        <v>-</v>
      </c>
      <c r="G286" s="280" t="str">
        <f t="shared" si="22"/>
        <v>-</v>
      </c>
      <c r="H286" s="280" t="str">
        <f t="shared" si="22"/>
        <v>-</v>
      </c>
      <c r="I286" s="280" t="str">
        <f t="shared" si="22"/>
        <v>-</v>
      </c>
      <c r="J286" s="280" t="str">
        <f t="shared" si="22"/>
        <v>-</v>
      </c>
      <c r="K286" s="280" t="str">
        <f t="shared" si="22"/>
        <v>-</v>
      </c>
      <c r="L286" s="281" t="str">
        <f t="shared" si="22"/>
        <v>-</v>
      </c>
      <c r="M286" s="2"/>
    </row>
    <row r="287" spans="1:16" x14ac:dyDescent="0.25">
      <c r="B287" s="693" t="str">
        <f>IF(Intro!$G$21="English",O289,P289)</f>
        <v>Poutre caisson formée à froid  en acier de calibre 12 à 16, de toute longueur, incluant le connecteur/support de poutre, quels que soient le profil ou le type de raccord.</v>
      </c>
      <c r="C287" s="605"/>
      <c r="D287" s="605"/>
      <c r="E287" s="605"/>
      <c r="F287" s="605"/>
      <c r="G287" s="605"/>
      <c r="H287" s="605"/>
      <c r="I287" s="605"/>
      <c r="J287" s="605"/>
      <c r="K287" s="605"/>
      <c r="L287" s="606"/>
      <c r="M287" s="2"/>
    </row>
    <row r="288" spans="1:16" x14ac:dyDescent="0.25">
      <c r="B288" s="693"/>
      <c r="C288" s="605"/>
      <c r="D288" s="605"/>
      <c r="E288" s="605"/>
      <c r="F288" s="605"/>
      <c r="G288" s="605"/>
      <c r="H288" s="605"/>
      <c r="I288" s="605"/>
      <c r="J288" s="605"/>
      <c r="K288" s="605"/>
      <c r="L288" s="606"/>
      <c r="M288" s="2"/>
    </row>
    <row r="289" spans="2:19" x14ac:dyDescent="0.25">
      <c r="B289" s="691" t="str">
        <f>IF(Intro!$G$21="English",Variables!$B$23,Variables!$C$23)</f>
        <v>tonnes</v>
      </c>
      <c r="C289" s="692"/>
      <c r="D289" s="692"/>
      <c r="E289" s="270"/>
      <c r="F289" s="270"/>
      <c r="G289" s="270"/>
      <c r="H289" s="270"/>
      <c r="I289" s="270"/>
      <c r="J289" s="270"/>
      <c r="K289" s="270"/>
      <c r="L289" s="279"/>
      <c r="M289" s="2"/>
      <c r="O289" s="2" t="str">
        <f>Variables!B30</f>
        <v>Roll formed box beam of 12–16 gauge steel, of any length, including beam connector/bracket, regardless of profile or connection type.</v>
      </c>
      <c r="P289" s="2" t="str">
        <f>Variables!C30</f>
        <v>Poutre caisson formée à froid  en acier de calibre 12 à 16, de toute longueur, incluant le connecteur/support de poutre, quels que soient le profil ou le type de raccord.</v>
      </c>
    </row>
    <row r="290" spans="2:19" x14ac:dyDescent="0.25">
      <c r="B290" s="691" t="str">
        <f>IF(Intro!G$21="English","net delivered selling value (CAD)","valeur de vente nette rendue (CAD)")</f>
        <v>valeur de vente nette rendue (CAD)</v>
      </c>
      <c r="C290" s="692"/>
      <c r="D290" s="692"/>
      <c r="E290" s="270"/>
      <c r="F290" s="270"/>
      <c r="G290" s="270"/>
      <c r="H290" s="270"/>
      <c r="I290" s="270"/>
      <c r="J290" s="270"/>
      <c r="K290" s="270"/>
      <c r="L290" s="279"/>
      <c r="M290" s="2"/>
    </row>
    <row r="291" spans="2:19" x14ac:dyDescent="0.25">
      <c r="B291" s="691" t="str">
        <f>"$ / "&amp;IF(Intro!$G$21="English",Variables!$B$24,Variables!$C$24)</f>
        <v>$ / tonne</v>
      </c>
      <c r="C291" s="692"/>
      <c r="D291" s="692"/>
      <c r="E291" s="280" t="str">
        <f t="shared" ref="E291:L291" si="23">IF(E289=0,"-",E290/E289)</f>
        <v>-</v>
      </c>
      <c r="F291" s="280" t="str">
        <f t="shared" si="23"/>
        <v>-</v>
      </c>
      <c r="G291" s="280" t="str">
        <f t="shared" si="23"/>
        <v>-</v>
      </c>
      <c r="H291" s="280" t="str">
        <f t="shared" si="23"/>
        <v>-</v>
      </c>
      <c r="I291" s="280" t="str">
        <f t="shared" si="23"/>
        <v>-</v>
      </c>
      <c r="J291" s="280" t="str">
        <f t="shared" si="23"/>
        <v>-</v>
      </c>
      <c r="K291" s="280" t="str">
        <f t="shared" si="23"/>
        <v>-</v>
      </c>
      <c r="L291" s="281" t="str">
        <f t="shared" si="23"/>
        <v>-</v>
      </c>
      <c r="M291" s="2"/>
    </row>
    <row r="292" spans="2:19" x14ac:dyDescent="0.25">
      <c r="B292" s="693" t="str">
        <f>IF(Intro!$G$21="English",O294,P294)</f>
        <v>Barre de sécurité formée à froid , quels que soient le type ou le modèle (universelle, à clipser, à encliqueter, à poser par-dessus, soudée ou autre), les dimensions ou la configuration.</v>
      </c>
      <c r="C292" s="605"/>
      <c r="D292" s="605"/>
      <c r="E292" s="605"/>
      <c r="F292" s="605"/>
      <c r="G292" s="605"/>
      <c r="H292" s="605"/>
      <c r="I292" s="605"/>
      <c r="J292" s="605"/>
      <c r="K292" s="605"/>
      <c r="L292" s="606"/>
      <c r="M292" s="2"/>
    </row>
    <row r="293" spans="2:19" x14ac:dyDescent="0.25">
      <c r="B293" s="693"/>
      <c r="C293" s="605"/>
      <c r="D293" s="605"/>
      <c r="E293" s="605"/>
      <c r="F293" s="605"/>
      <c r="G293" s="605"/>
      <c r="H293" s="605"/>
      <c r="I293" s="605"/>
      <c r="J293" s="605"/>
      <c r="K293" s="605"/>
      <c r="L293" s="606"/>
      <c r="M293" s="2"/>
    </row>
    <row r="294" spans="2:19" x14ac:dyDescent="0.25">
      <c r="B294" s="691" t="str">
        <f>IF(Intro!$G$21="English",Variables!$B$23,Variables!$C$23)</f>
        <v>tonnes</v>
      </c>
      <c r="C294" s="692"/>
      <c r="D294" s="692"/>
      <c r="E294" s="270"/>
      <c r="F294" s="270"/>
      <c r="G294" s="270"/>
      <c r="H294" s="270"/>
      <c r="I294" s="270"/>
      <c r="J294" s="270"/>
      <c r="K294" s="270"/>
      <c r="L294" s="279"/>
      <c r="M294" s="2"/>
      <c r="O294" s="2" t="str">
        <f>Variables!B31</f>
        <v>Roll formed safety bar, regardless of type/style (universal, clip-in, snap-in, hook-over, welded or other), dimensions or configuration.</v>
      </c>
      <c r="P294" s="2" t="str">
        <f>Variables!C31</f>
        <v>Barre de sécurité formée à froid , quels que soient le type ou le modèle (universelle, à clipser, à encliqueter, à poser par-dessus, soudée ou autre), les dimensions ou la configuration.</v>
      </c>
    </row>
    <row r="295" spans="2:19" x14ac:dyDescent="0.25">
      <c r="B295" s="691" t="str">
        <f>IF(Intro!G$21="English","net delivered selling value (CAD)","valeur de vente nette rendue (CAD)")</f>
        <v>valeur de vente nette rendue (CAD)</v>
      </c>
      <c r="C295" s="692"/>
      <c r="D295" s="692"/>
      <c r="E295" s="270"/>
      <c r="F295" s="270"/>
      <c r="G295" s="270"/>
      <c r="H295" s="270"/>
      <c r="I295" s="270"/>
      <c r="J295" s="270"/>
      <c r="K295" s="270"/>
      <c r="L295" s="279"/>
      <c r="M295" s="2"/>
    </row>
    <row r="296" spans="2:19" x14ac:dyDescent="0.25">
      <c r="B296" s="691" t="str">
        <f>"$ / "&amp;IF(Intro!$G$21="English",Variables!$B$24,Variables!$C$24)</f>
        <v>$ / tonne</v>
      </c>
      <c r="C296" s="692"/>
      <c r="D296" s="692"/>
      <c r="E296" s="280" t="str">
        <f t="shared" ref="E296:L296" si="24">IF(E294=0,"-",E295/E294)</f>
        <v>-</v>
      </c>
      <c r="F296" s="280" t="str">
        <f t="shared" si="24"/>
        <v>-</v>
      </c>
      <c r="G296" s="280" t="str">
        <f t="shared" si="24"/>
        <v>-</v>
      </c>
      <c r="H296" s="280" t="str">
        <f t="shared" si="24"/>
        <v>-</v>
      </c>
      <c r="I296" s="280" t="str">
        <f t="shared" si="24"/>
        <v>-</v>
      </c>
      <c r="J296" s="280" t="str">
        <f t="shared" si="24"/>
        <v>-</v>
      </c>
      <c r="K296" s="280" t="str">
        <f t="shared" si="24"/>
        <v>-</v>
      </c>
      <c r="L296" s="281" t="str">
        <f t="shared" si="24"/>
        <v>-</v>
      </c>
      <c r="M296" s="2"/>
    </row>
    <row r="297" spans="2:19" x14ac:dyDescent="0.25">
      <c r="B297" s="159"/>
      <c r="C297" s="160"/>
      <c r="D297" s="160"/>
      <c r="E297" s="29"/>
      <c r="F297" s="29"/>
      <c r="G297" s="29"/>
      <c r="H297" s="29"/>
      <c r="I297" s="29"/>
      <c r="J297" s="29"/>
      <c r="K297" s="29"/>
      <c r="L297" s="30"/>
      <c r="M297" s="2"/>
    </row>
    <row r="298" spans="2:19" x14ac:dyDescent="0.25">
      <c r="B298" s="456" t="str">
        <f>IF(Intro!$G$21="English",O298,P298)</f>
        <v>Dans le tableau ci-dessous, « Erreur » signifie que le total des ventes des produits de référence de votre entreprise dépasse le total des ventes nationales de votre entreprise pour cette période. Par conséquent, veuillez modifier les données ci-dessus.</v>
      </c>
      <c r="C298" s="457"/>
      <c r="D298" s="457"/>
      <c r="E298" s="457"/>
      <c r="F298" s="457"/>
      <c r="G298" s="457"/>
      <c r="H298" s="457"/>
      <c r="I298" s="457"/>
      <c r="J298" s="457"/>
      <c r="K298" s="457"/>
      <c r="L298" s="458"/>
      <c r="M298" s="2"/>
      <c r="O298" s="2" t="s">
        <v>418</v>
      </c>
      <c r="P298" s="2" t="s">
        <v>385</v>
      </c>
      <c r="Q298" s="152"/>
      <c r="R298" s="152"/>
      <c r="S298" s="152"/>
    </row>
    <row r="299" spans="2:19" x14ac:dyDescent="0.25">
      <c r="B299" s="456"/>
      <c r="C299" s="457"/>
      <c r="D299" s="457"/>
      <c r="E299" s="457"/>
      <c r="F299" s="457"/>
      <c r="G299" s="457"/>
      <c r="H299" s="457"/>
      <c r="I299" s="457"/>
      <c r="J299" s="457"/>
      <c r="K299" s="457"/>
      <c r="L299" s="458"/>
      <c r="M299" s="2"/>
      <c r="Q299" s="152"/>
      <c r="R299" s="152"/>
      <c r="S299" s="152"/>
    </row>
    <row r="300" spans="2:19" x14ac:dyDescent="0.25">
      <c r="B300" s="159"/>
      <c r="C300" s="160"/>
      <c r="D300" s="160"/>
      <c r="E300" s="29"/>
      <c r="F300" s="29"/>
      <c r="G300" s="29"/>
      <c r="H300" s="29"/>
      <c r="I300" s="29"/>
      <c r="J300" s="29"/>
      <c r="K300" s="29"/>
      <c r="L300" s="30"/>
      <c r="M300" s="2"/>
      <c r="Q300" s="152"/>
      <c r="R300" s="152"/>
      <c r="S300" s="152"/>
    </row>
    <row r="301" spans="2:19" x14ac:dyDescent="0.25">
      <c r="B301" s="688" t="str">
        <f>B262</f>
        <v>Vérification - volume</v>
      </c>
      <c r="C301" s="689"/>
      <c r="D301" s="689"/>
      <c r="E301" s="690"/>
      <c r="F301" s="287" t="str">
        <f>F262</f>
        <v>avril-déc. 2024</v>
      </c>
      <c r="G301" s="287">
        <f>G262</f>
        <v>2025</v>
      </c>
      <c r="H301" s="287" t="str">
        <f>H262</f>
        <v>janv- mars 2026</v>
      </c>
      <c r="I301" s="29"/>
      <c r="J301" s="29"/>
      <c r="K301" s="29"/>
      <c r="L301" s="30"/>
      <c r="M301" s="2"/>
    </row>
    <row r="302" spans="2:19" ht="14.1" customHeight="1" x14ac:dyDescent="0.25">
      <c r="B302" s="685" t="str">
        <f>IF(Intro!$G$21="English",Variables!$B$23,Variables!$C$23)</f>
        <v>tonnes</v>
      </c>
      <c r="C302" s="686"/>
      <c r="D302" s="686"/>
      <c r="E302" s="687"/>
      <c r="F302" s="285" t="str">
        <f>IF(SUM(E284:G284,E289:G289,E294:G294)&gt;SUM(H28,H31),Variables!D62,Variables!D63)</f>
        <v>Correct</v>
      </c>
      <c r="G302" s="285" t="str">
        <f>IF(SUM(H284:K284,H289:K289,H294:K294)&gt;SUM(I28,I31),Variables!D62,Variables!D63)</f>
        <v>Correct</v>
      </c>
      <c r="H302" s="285" t="str">
        <f>IF(SUM(L284,L289,L294)&gt;SUM(K28,K31),Variables!D62,Variables!D63)</f>
        <v>Correct</v>
      </c>
      <c r="I302" s="29"/>
      <c r="J302" s="29"/>
      <c r="K302" s="29"/>
      <c r="L302" s="30"/>
      <c r="M302" s="2"/>
    </row>
    <row r="303" spans="2:19" ht="14.1" customHeight="1" x14ac:dyDescent="0.25">
      <c r="B303" s="670" t="str">
        <f>IF(Intro!$G$21="English",O303,P303)</f>
        <v>volume - total des ventes au Canada de la production nationale de produits de référence (Question 15)</v>
      </c>
      <c r="C303" s="671"/>
      <c r="D303" s="671"/>
      <c r="E303" s="672"/>
      <c r="F303" s="695">
        <f>SUM(E284:G284,E289:G289,E294:G294)</f>
        <v>0</v>
      </c>
      <c r="G303" s="695">
        <f>SUM(H284:K284,H289:K289,H294:K294)</f>
        <v>0</v>
      </c>
      <c r="H303" s="695">
        <f>SUM(L284,L289,L294)</f>
        <v>0</v>
      </c>
      <c r="I303" s="29"/>
      <c r="J303" s="29"/>
      <c r="K303" s="29"/>
      <c r="L303" s="30"/>
      <c r="M303" s="2"/>
      <c r="O303" s="2" t="s">
        <v>778</v>
      </c>
      <c r="P303" s="2" t="s">
        <v>779</v>
      </c>
    </row>
    <row r="304" spans="2:19" x14ac:dyDescent="0.25">
      <c r="B304" s="673"/>
      <c r="C304" s="674"/>
      <c r="D304" s="674"/>
      <c r="E304" s="675"/>
      <c r="F304" s="696"/>
      <c r="G304" s="696"/>
      <c r="H304" s="696"/>
      <c r="I304" s="29"/>
      <c r="J304" s="29"/>
      <c r="K304" s="29"/>
      <c r="L304" s="30"/>
      <c r="M304" s="2"/>
    </row>
    <row r="305" spans="1:16" ht="14.1" customHeight="1" x14ac:dyDescent="0.25">
      <c r="B305" s="676" t="str">
        <f>IF(Intro!$G$21="English",O305,P305)</f>
        <v>volume - total des ventes au Canada de la production nationale (Question 1)</v>
      </c>
      <c r="C305" s="677"/>
      <c r="D305" s="677"/>
      <c r="E305" s="678"/>
      <c r="F305" s="695">
        <f>SUM(H28,H31)</f>
        <v>0</v>
      </c>
      <c r="G305" s="695">
        <f>SUM(I28,I31)</f>
        <v>0</v>
      </c>
      <c r="H305" s="695">
        <f>SUM(K28,K31)</f>
        <v>0</v>
      </c>
      <c r="I305" s="29"/>
      <c r="J305" s="29"/>
      <c r="K305" s="29"/>
      <c r="L305" s="30"/>
      <c r="M305" s="2"/>
      <c r="O305" s="2" t="s">
        <v>765</v>
      </c>
      <c r="P305" s="2" t="s">
        <v>774</v>
      </c>
    </row>
    <row r="306" spans="1:16" x14ac:dyDescent="0.25">
      <c r="B306" s="679"/>
      <c r="C306" s="680"/>
      <c r="D306" s="680"/>
      <c r="E306" s="681"/>
      <c r="F306" s="696"/>
      <c r="G306" s="696"/>
      <c r="H306" s="696"/>
      <c r="I306" s="29"/>
      <c r="J306" s="29"/>
      <c r="K306" s="29"/>
      <c r="L306" s="30"/>
      <c r="M306" s="2"/>
    </row>
    <row r="307" spans="1:16" x14ac:dyDescent="0.25">
      <c r="B307" s="697" t="str">
        <f>B268</f>
        <v>Vérification - valeur</v>
      </c>
      <c r="C307" s="698"/>
      <c r="D307" s="698"/>
      <c r="E307" s="699"/>
      <c r="F307" s="209" t="str">
        <f>F301</f>
        <v>avril-déc. 2024</v>
      </c>
      <c r="G307" s="209">
        <f t="shared" ref="G307:H307" si="25">G301</f>
        <v>2025</v>
      </c>
      <c r="H307" s="209" t="str">
        <f t="shared" si="25"/>
        <v>janv- mars 2026</v>
      </c>
      <c r="I307" s="29"/>
      <c r="J307" s="29"/>
      <c r="K307" s="29"/>
      <c r="L307" s="30"/>
      <c r="M307" s="2"/>
    </row>
    <row r="308" spans="1:16" ht="14.1" customHeight="1" x14ac:dyDescent="0.25">
      <c r="B308" s="685" t="str">
        <f>IF(Intro!G$21="English","net delivered selling value (CAD)","valeur de vente nette rendue (CAD)")</f>
        <v>valeur de vente nette rendue (CAD)</v>
      </c>
      <c r="C308" s="686"/>
      <c r="D308" s="686"/>
      <c r="E308" s="687"/>
      <c r="F308" s="285" t="str">
        <f>IF(SUM(E285:G285,E290:G290,E295:G295)&gt;SUM(H29,H32),Variables!D66,Variables!D67)</f>
        <v>Correct</v>
      </c>
      <c r="G308" s="285" t="str">
        <f>IF(SUM(H285:K285,H290:K290,H295:K295)&gt;SUM(I29,I32),Variables!D66,Variables!D67)</f>
        <v>Correct</v>
      </c>
      <c r="H308" s="285" t="str">
        <f>IF(SUM(L285,L290,L295)&gt;SUM(K29,K32),Variables!D66,Variables!D67)</f>
        <v>Correct</v>
      </c>
      <c r="I308" s="29"/>
      <c r="J308" s="29"/>
      <c r="K308" s="29"/>
      <c r="L308" s="30"/>
      <c r="M308" s="2"/>
    </row>
    <row r="309" spans="1:16" ht="14.1" customHeight="1" x14ac:dyDescent="0.25">
      <c r="B309" s="670" t="str">
        <f>IF(Intro!$G$21="English",O309,P309)</f>
        <v>valeur - total des ventes au Canada de la production nationale de produits de référence (Question 15)</v>
      </c>
      <c r="C309" s="671"/>
      <c r="D309" s="671"/>
      <c r="E309" s="672"/>
      <c r="F309" s="694">
        <f>SUM(E285:G285,E290:G290,E295:G295)</f>
        <v>0</v>
      </c>
      <c r="G309" s="694">
        <f>SUM(H285:K285,H290:K290,H295:K295)</f>
        <v>0</v>
      </c>
      <c r="H309" s="694">
        <f>SUM(L285,L290,L295)</f>
        <v>0</v>
      </c>
      <c r="I309" s="29"/>
      <c r="J309" s="29"/>
      <c r="K309" s="29"/>
      <c r="L309" s="30"/>
      <c r="M309" s="2"/>
      <c r="O309" s="2" t="s">
        <v>916</v>
      </c>
      <c r="P309" s="2" t="s">
        <v>780</v>
      </c>
    </row>
    <row r="310" spans="1:16" x14ac:dyDescent="0.25">
      <c r="B310" s="673"/>
      <c r="C310" s="674"/>
      <c r="D310" s="674"/>
      <c r="E310" s="675"/>
      <c r="F310" s="694"/>
      <c r="G310" s="694"/>
      <c r="H310" s="694"/>
      <c r="I310" s="29"/>
      <c r="J310" s="29"/>
      <c r="K310" s="29"/>
      <c r="L310" s="30"/>
      <c r="M310" s="2"/>
    </row>
    <row r="311" spans="1:16" ht="14.1" customHeight="1" x14ac:dyDescent="0.25">
      <c r="B311" s="676" t="str">
        <f>IF(Intro!$G$21="English",O311,P311)</f>
        <v>valeur - total des ventes au Canada de la production nationale (Question 1)</v>
      </c>
      <c r="C311" s="677"/>
      <c r="D311" s="677"/>
      <c r="E311" s="678"/>
      <c r="F311" s="694">
        <f>SUM(H29,H32)</f>
        <v>0</v>
      </c>
      <c r="G311" s="694">
        <f>SUM(I29,I32)</f>
        <v>0</v>
      </c>
      <c r="H311" s="694">
        <f>SUM(K29,K32)</f>
        <v>0</v>
      </c>
      <c r="I311" s="29"/>
      <c r="J311" s="29"/>
      <c r="K311" s="29"/>
      <c r="L311" s="30"/>
      <c r="M311" s="2"/>
      <c r="O311" s="2" t="s">
        <v>775</v>
      </c>
      <c r="P311" s="2" t="s">
        <v>777</v>
      </c>
    </row>
    <row r="312" spans="1:16" x14ac:dyDescent="0.25">
      <c r="B312" s="682"/>
      <c r="C312" s="683"/>
      <c r="D312" s="683"/>
      <c r="E312" s="684"/>
      <c r="F312" s="694"/>
      <c r="G312" s="694"/>
      <c r="H312" s="694"/>
      <c r="I312" s="29"/>
      <c r="J312" s="29"/>
      <c r="K312" s="29"/>
      <c r="L312" s="30"/>
      <c r="M312" s="2"/>
    </row>
    <row r="313" spans="1:16" x14ac:dyDescent="0.25">
      <c r="B313" s="176"/>
      <c r="C313" s="177"/>
      <c r="D313" s="177"/>
      <c r="E313" s="177"/>
      <c r="F313" s="177"/>
      <c r="G313" s="177"/>
      <c r="H313" s="177"/>
      <c r="I313" s="177"/>
      <c r="J313" s="177"/>
      <c r="K313" s="177"/>
      <c r="L313" s="178"/>
      <c r="M313" s="2"/>
    </row>
    <row r="314" spans="1:16" s="3" customFormat="1" x14ac:dyDescent="0.25">
      <c r="A314" s="12"/>
      <c r="B314" s="190"/>
      <c r="C314" s="190"/>
      <c r="D314" s="183"/>
      <c r="E314" s="184"/>
      <c r="F314" s="184"/>
      <c r="G314" s="184"/>
      <c r="H314" s="184"/>
      <c r="I314" s="184"/>
      <c r="J314" s="184"/>
      <c r="K314" s="184"/>
      <c r="L314" s="184"/>
      <c r="M314" s="168"/>
    </row>
    <row r="315" spans="1:16" s="156" customFormat="1" x14ac:dyDescent="0.25">
      <c r="A315" s="180"/>
      <c r="B315" s="13"/>
      <c r="C315" s="13"/>
      <c r="D315" s="181"/>
      <c r="E315" s="181"/>
      <c r="F315" s="181"/>
      <c r="G315" s="181"/>
      <c r="H315" s="181"/>
      <c r="I315" s="181"/>
      <c r="J315" s="181"/>
      <c r="K315" s="181"/>
      <c r="L315" s="181"/>
      <c r="N315" s="182"/>
    </row>
    <row r="316" spans="1:16" s="156" customFormat="1" x14ac:dyDescent="0.25">
      <c r="A316" s="180"/>
      <c r="B316" s="13"/>
      <c r="C316" s="13"/>
      <c r="D316" s="181"/>
      <c r="E316" s="181"/>
      <c r="F316" s="181"/>
      <c r="G316" s="181"/>
      <c r="H316" s="181"/>
      <c r="I316" s="181"/>
      <c r="J316" s="181"/>
      <c r="K316" s="181"/>
      <c r="L316" s="181"/>
      <c r="N316" s="182"/>
    </row>
    <row r="317" spans="1:16" s="156" customFormat="1" x14ac:dyDescent="0.25">
      <c r="A317" s="180"/>
      <c r="B317" s="13"/>
      <c r="C317" s="13"/>
      <c r="D317" s="181"/>
      <c r="E317" s="181"/>
      <c r="F317" s="181"/>
      <c r="G317" s="181"/>
      <c r="H317" s="181"/>
      <c r="I317" s="181"/>
      <c r="J317" s="181"/>
      <c r="K317" s="181"/>
      <c r="L317" s="181"/>
      <c r="N317" s="182"/>
    </row>
    <row r="318" spans="1:16" s="156" customFormat="1" x14ac:dyDescent="0.25">
      <c r="A318" s="180"/>
      <c r="B318" s="13"/>
      <c r="C318" s="13"/>
      <c r="D318" s="181"/>
      <c r="E318" s="181"/>
      <c r="F318" s="181"/>
      <c r="G318" s="181"/>
      <c r="H318" s="181"/>
      <c r="I318" s="181"/>
      <c r="J318" s="181"/>
      <c r="K318" s="181"/>
      <c r="L318" s="181"/>
      <c r="N318" s="182"/>
    </row>
    <row r="319" spans="1:16" s="156" customFormat="1" x14ac:dyDescent="0.25">
      <c r="A319" s="180"/>
      <c r="B319" s="13"/>
      <c r="C319" s="13"/>
      <c r="D319" s="181"/>
      <c r="E319" s="181"/>
      <c r="F319" s="181"/>
      <c r="G319" s="181"/>
      <c r="H319" s="181"/>
      <c r="I319" s="181"/>
      <c r="J319" s="181"/>
      <c r="K319" s="181"/>
      <c r="L319" s="181"/>
      <c r="N319" s="182"/>
    </row>
    <row r="320" spans="1:16" s="156" customFormat="1" x14ac:dyDescent="0.25">
      <c r="A320" s="180"/>
      <c r="B320" s="13"/>
      <c r="C320" s="13"/>
      <c r="D320" s="181"/>
      <c r="E320" s="181"/>
      <c r="F320" s="181"/>
      <c r="G320" s="181"/>
      <c r="H320" s="181"/>
      <c r="I320" s="181"/>
      <c r="J320" s="181"/>
      <c r="K320" s="181"/>
      <c r="L320" s="181"/>
      <c r="N320" s="182"/>
    </row>
    <row r="321" spans="1:14" s="156" customFormat="1" x14ac:dyDescent="0.25">
      <c r="A321" s="180"/>
      <c r="B321" s="13"/>
      <c r="C321" s="13"/>
      <c r="D321" s="181"/>
      <c r="E321" s="181"/>
      <c r="F321" s="181"/>
      <c r="G321" s="181"/>
      <c r="H321" s="181"/>
      <c r="I321" s="181"/>
      <c r="J321" s="181"/>
      <c r="K321" s="181"/>
      <c r="L321" s="181"/>
      <c r="N321" s="182"/>
    </row>
    <row r="322" spans="1:14" s="156" customFormat="1" x14ac:dyDescent="0.25">
      <c r="A322" s="180"/>
      <c r="B322" s="13"/>
      <c r="C322" s="13"/>
      <c r="D322" s="181"/>
      <c r="E322" s="181"/>
      <c r="F322" s="181"/>
      <c r="G322" s="181"/>
      <c r="H322" s="181"/>
      <c r="I322" s="181"/>
      <c r="J322" s="181"/>
      <c r="K322" s="181"/>
      <c r="L322" s="181"/>
      <c r="N322" s="182"/>
    </row>
    <row r="323" spans="1:14" s="156" customFormat="1" x14ac:dyDescent="0.25">
      <c r="A323" s="180"/>
      <c r="B323" s="13"/>
      <c r="C323" s="13"/>
      <c r="D323" s="181"/>
      <c r="E323" s="181"/>
      <c r="F323" s="181"/>
      <c r="G323" s="181"/>
      <c r="H323" s="181"/>
      <c r="I323" s="181"/>
      <c r="J323" s="181"/>
      <c r="K323" s="181"/>
      <c r="L323" s="181"/>
      <c r="N323" s="182"/>
    </row>
    <row r="324" spans="1:14" s="156" customFormat="1" x14ac:dyDescent="0.25">
      <c r="A324" s="180"/>
      <c r="B324" s="13"/>
      <c r="C324" s="13"/>
      <c r="D324" s="181"/>
      <c r="E324" s="181"/>
      <c r="F324" s="181"/>
      <c r="G324" s="181"/>
      <c r="H324" s="181"/>
      <c r="I324" s="181"/>
      <c r="J324" s="181"/>
      <c r="K324" s="181"/>
      <c r="L324" s="181"/>
      <c r="N324" s="182"/>
    </row>
    <row r="325" spans="1:14" s="156" customFormat="1" x14ac:dyDescent="0.25">
      <c r="A325" s="180"/>
      <c r="B325" s="13"/>
      <c r="C325" s="13"/>
      <c r="D325" s="181"/>
      <c r="E325" s="181"/>
      <c r="F325" s="181"/>
      <c r="G325" s="181"/>
      <c r="H325" s="181"/>
      <c r="I325" s="181"/>
      <c r="J325" s="181"/>
      <c r="K325" s="181"/>
      <c r="L325" s="181"/>
      <c r="N325" s="182"/>
    </row>
    <row r="326" spans="1:14" s="156" customFormat="1" x14ac:dyDescent="0.25">
      <c r="A326" s="180"/>
      <c r="B326" s="13"/>
      <c r="C326" s="13"/>
      <c r="D326" s="181"/>
      <c r="E326" s="181"/>
      <c r="F326" s="181"/>
      <c r="G326" s="181"/>
      <c r="H326" s="181"/>
      <c r="I326" s="181"/>
      <c r="J326" s="181"/>
      <c r="K326" s="181"/>
      <c r="L326" s="181"/>
      <c r="N326" s="182"/>
    </row>
    <row r="327" spans="1:14" s="156" customFormat="1" x14ac:dyDescent="0.25">
      <c r="A327" s="180"/>
      <c r="B327" s="13"/>
      <c r="C327" s="13"/>
      <c r="D327" s="181"/>
      <c r="E327" s="181"/>
      <c r="F327" s="181"/>
      <c r="G327" s="181"/>
      <c r="H327" s="181"/>
      <c r="I327" s="181"/>
      <c r="J327" s="181"/>
      <c r="K327" s="181"/>
      <c r="L327" s="181"/>
      <c r="N327" s="182"/>
    </row>
    <row r="328" spans="1:14" s="156" customFormat="1" x14ac:dyDescent="0.25">
      <c r="A328" s="180"/>
      <c r="B328" s="13"/>
      <c r="C328" s="13"/>
      <c r="D328" s="181"/>
      <c r="E328" s="181"/>
      <c r="F328" s="181"/>
      <c r="G328" s="181"/>
      <c r="H328" s="181"/>
      <c r="I328" s="181"/>
      <c r="J328" s="181"/>
      <c r="K328" s="181"/>
      <c r="L328" s="181"/>
      <c r="N328" s="182"/>
    </row>
    <row r="329" spans="1:14" s="156" customFormat="1" x14ac:dyDescent="0.25">
      <c r="A329" s="180"/>
      <c r="B329" s="13"/>
      <c r="C329" s="13"/>
      <c r="D329" s="181"/>
      <c r="E329" s="181"/>
      <c r="F329" s="181"/>
      <c r="G329" s="181"/>
      <c r="H329" s="181"/>
      <c r="I329" s="181"/>
      <c r="J329" s="181"/>
      <c r="K329" s="181"/>
      <c r="L329" s="181"/>
      <c r="N329" s="182"/>
    </row>
    <row r="330" spans="1:14" s="156" customFormat="1" x14ac:dyDescent="0.25">
      <c r="A330" s="180"/>
      <c r="B330" s="13"/>
      <c r="C330" s="13"/>
      <c r="D330" s="181"/>
      <c r="E330" s="181"/>
      <c r="F330" s="181"/>
      <c r="G330" s="181"/>
      <c r="H330" s="181"/>
      <c r="I330" s="181"/>
      <c r="J330" s="181"/>
      <c r="K330" s="181"/>
      <c r="L330" s="181"/>
      <c r="N330" s="182"/>
    </row>
    <row r="331" spans="1:14" s="156" customFormat="1" x14ac:dyDescent="0.25">
      <c r="A331" s="180"/>
      <c r="B331" s="13"/>
      <c r="C331" s="13"/>
      <c r="D331" s="181"/>
      <c r="E331" s="181"/>
      <c r="F331" s="181"/>
      <c r="G331" s="181"/>
      <c r="H331" s="181"/>
      <c r="I331" s="181"/>
      <c r="J331" s="181"/>
      <c r="K331" s="181"/>
      <c r="L331" s="181"/>
      <c r="N331" s="182"/>
    </row>
    <row r="332" spans="1:14" s="156" customFormat="1" x14ac:dyDescent="0.25">
      <c r="A332" s="180"/>
      <c r="B332" s="13"/>
      <c r="C332" s="13"/>
      <c r="D332" s="181"/>
      <c r="E332" s="181"/>
      <c r="F332" s="181"/>
      <c r="G332" s="181"/>
      <c r="H332" s="181"/>
      <c r="I332" s="181"/>
      <c r="J332" s="181"/>
      <c r="K332" s="181"/>
      <c r="L332" s="181"/>
      <c r="N332" s="182"/>
    </row>
    <row r="333" spans="1:14" s="156" customFormat="1" x14ac:dyDescent="0.25">
      <c r="A333" s="180"/>
      <c r="B333" s="13"/>
      <c r="C333" s="13"/>
      <c r="D333" s="181"/>
      <c r="E333" s="181"/>
      <c r="F333" s="181"/>
      <c r="G333" s="181"/>
      <c r="H333" s="181"/>
      <c r="I333" s="181"/>
      <c r="J333" s="181"/>
      <c r="K333" s="181"/>
      <c r="L333" s="181"/>
      <c r="N333" s="182"/>
    </row>
    <row r="334" spans="1:14" s="156" customFormat="1" x14ac:dyDescent="0.25">
      <c r="A334" s="180"/>
      <c r="B334" s="13"/>
      <c r="C334" s="13"/>
      <c r="D334" s="181"/>
      <c r="E334" s="181"/>
      <c r="F334" s="181"/>
      <c r="G334" s="181"/>
      <c r="H334" s="181"/>
      <c r="I334" s="181"/>
      <c r="J334" s="181"/>
      <c r="K334" s="181"/>
      <c r="L334" s="181"/>
      <c r="N334" s="182"/>
    </row>
    <row r="335" spans="1:14" s="156" customFormat="1" x14ac:dyDescent="0.25">
      <c r="A335" s="180"/>
      <c r="B335" s="13"/>
      <c r="C335" s="13"/>
      <c r="D335" s="181"/>
      <c r="E335" s="181"/>
      <c r="F335" s="181"/>
      <c r="G335" s="181"/>
      <c r="H335" s="181"/>
      <c r="I335" s="181"/>
      <c r="J335" s="181"/>
      <c r="K335" s="181"/>
      <c r="L335" s="181"/>
      <c r="N335" s="182"/>
    </row>
  </sheetData>
  <sheetProtection algorithmName="SHA-512" hashValue="cKX+a7V5AdmmYIJhA4T3OKQXr+alPTWwaSDLr5xnVPBSZSs4Eh8xnf9N0td0t3AnzoWpal38Auq8eOygBZl2/Q==" saltValue="Ta88w4XYa/4hocyEJcUO4w==" spinCount="100000" sheet="1" objects="1" scenarios="1" selectLockedCells="1"/>
  <mergeCells count="197">
    <mergeCell ref="B134:L134"/>
    <mergeCell ref="B153:L153"/>
    <mergeCell ref="B238:L238"/>
    <mergeCell ref="B242:L242"/>
    <mergeCell ref="B241:D241"/>
    <mergeCell ref="B243:D243"/>
    <mergeCell ref="B287:L288"/>
    <mergeCell ref="B248:D248"/>
    <mergeCell ref="B249:D249"/>
    <mergeCell ref="B251:D251"/>
    <mergeCell ref="B252:D252"/>
    <mergeCell ref="B246:L246"/>
    <mergeCell ref="B250:L250"/>
    <mergeCell ref="B253:D253"/>
    <mergeCell ref="B285:D285"/>
    <mergeCell ref="B286:D286"/>
    <mergeCell ref="J212:J213"/>
    <mergeCell ref="B259:L260"/>
    <mergeCell ref="B144:L151"/>
    <mergeCell ref="B158:L165"/>
    <mergeCell ref="B172:L179"/>
    <mergeCell ref="G138:G139"/>
    <mergeCell ref="B194:L195"/>
    <mergeCell ref="G212:G213"/>
    <mergeCell ref="E28:F28"/>
    <mergeCell ref="I51:I52"/>
    <mergeCell ref="J51:J52"/>
    <mergeCell ref="B50:E50"/>
    <mergeCell ref="B34:D36"/>
    <mergeCell ref="E34:F34"/>
    <mergeCell ref="E35:F35"/>
    <mergeCell ref="E36:F36"/>
    <mergeCell ref="B125:L132"/>
    <mergeCell ref="B67:L68"/>
    <mergeCell ref="B65:L65"/>
    <mergeCell ref="B79:L79"/>
    <mergeCell ref="B93:L93"/>
    <mergeCell ref="B106:L106"/>
    <mergeCell ref="B119:L119"/>
    <mergeCell ref="B121:L123"/>
    <mergeCell ref="F51:F52"/>
    <mergeCell ref="G51:G52"/>
    <mergeCell ref="H51:H52"/>
    <mergeCell ref="B56:L63"/>
    <mergeCell ref="B70:L77"/>
    <mergeCell ref="B84:L91"/>
    <mergeCell ref="B97:L104"/>
    <mergeCell ref="B110:L117"/>
    <mergeCell ref="H212:H213"/>
    <mergeCell ref="I212:I213"/>
    <mergeCell ref="B256:D256"/>
    <mergeCell ref="B257:D257"/>
    <mergeCell ref="B223:L223"/>
    <mergeCell ref="B233:L233"/>
    <mergeCell ref="B215:E215"/>
    <mergeCell ref="B216:E216"/>
    <mergeCell ref="C228:L228"/>
    <mergeCell ref="C229:L229"/>
    <mergeCell ref="C230:L230"/>
    <mergeCell ref="B218:E218"/>
    <mergeCell ref="B219:E219"/>
    <mergeCell ref="B217:E217"/>
    <mergeCell ref="B254:L254"/>
    <mergeCell ref="K212:K213"/>
    <mergeCell ref="B222:L222"/>
    <mergeCell ref="B225:L225"/>
    <mergeCell ref="B214:E214"/>
    <mergeCell ref="I138:I139"/>
    <mergeCell ref="B181:L181"/>
    <mergeCell ref="B208:L208"/>
    <mergeCell ref="J138:J139"/>
    <mergeCell ref="K138:K139"/>
    <mergeCell ref="H138:H139"/>
    <mergeCell ref="B210:L210"/>
    <mergeCell ref="B207:L207"/>
    <mergeCell ref="B186:L193"/>
    <mergeCell ref="B197:L204"/>
    <mergeCell ref="B183:L184"/>
    <mergeCell ref="B54:L54"/>
    <mergeCell ref="B51:E52"/>
    <mergeCell ref="B81:L82"/>
    <mergeCell ref="B95:L95"/>
    <mergeCell ref="B13:L13"/>
    <mergeCell ref="H23:H24"/>
    <mergeCell ref="I48:I49"/>
    <mergeCell ref="J48:J49"/>
    <mergeCell ref="K48:K49"/>
    <mergeCell ref="B46:L47"/>
    <mergeCell ref="E37:F37"/>
    <mergeCell ref="E38:F38"/>
    <mergeCell ref="E39:F39"/>
    <mergeCell ref="B19:L19"/>
    <mergeCell ref="B44:L44"/>
    <mergeCell ref="B14:L14"/>
    <mergeCell ref="B18:L18"/>
    <mergeCell ref="I23:I24"/>
    <mergeCell ref="J23:J24"/>
    <mergeCell ref="K23:K24"/>
    <mergeCell ref="E40:F40"/>
    <mergeCell ref="E41:F41"/>
    <mergeCell ref="E42:F42"/>
    <mergeCell ref="G23:G24"/>
    <mergeCell ref="G48:G49"/>
    <mergeCell ref="E25:F25"/>
    <mergeCell ref="E26:F26"/>
    <mergeCell ref="E27:F27"/>
    <mergeCell ref="B4:L4"/>
    <mergeCell ref="B5:L5"/>
    <mergeCell ref="B6:L6"/>
    <mergeCell ref="B108:L108"/>
    <mergeCell ref="B136:L136"/>
    <mergeCell ref="B15:L15"/>
    <mergeCell ref="B16:L16"/>
    <mergeCell ref="B21:L21"/>
    <mergeCell ref="B25:D27"/>
    <mergeCell ref="B28:D30"/>
    <mergeCell ref="K51:K52"/>
    <mergeCell ref="H48:H49"/>
    <mergeCell ref="B31:D33"/>
    <mergeCell ref="B37:D39"/>
    <mergeCell ref="B40:D42"/>
    <mergeCell ref="B8:L8"/>
    <mergeCell ref="E29:F29"/>
    <mergeCell ref="E30:F30"/>
    <mergeCell ref="E31:F31"/>
    <mergeCell ref="B9:L9"/>
    <mergeCell ref="B10:L10"/>
    <mergeCell ref="B12:L12"/>
    <mergeCell ref="E32:F32"/>
    <mergeCell ref="E33:F33"/>
    <mergeCell ref="B298:L299"/>
    <mergeCell ref="F303:F304"/>
    <mergeCell ref="G303:G304"/>
    <mergeCell ref="H303:H304"/>
    <mergeCell ref="B155:L156"/>
    <mergeCell ref="B169:L170"/>
    <mergeCell ref="B167:L167"/>
    <mergeCell ref="B142:L142"/>
    <mergeCell ref="D140:E140"/>
    <mergeCell ref="B239:D239"/>
    <mergeCell ref="B240:D240"/>
    <mergeCell ref="B268:E268"/>
    <mergeCell ref="B244:D244"/>
    <mergeCell ref="B245:D245"/>
    <mergeCell ref="B247:D247"/>
    <mergeCell ref="C231:L231"/>
    <mergeCell ref="C227:L227"/>
    <mergeCell ref="B235:L235"/>
    <mergeCell ref="B279:L279"/>
    <mergeCell ref="B255:D255"/>
    <mergeCell ref="H272:H273"/>
    <mergeCell ref="B282:L283"/>
    <mergeCell ref="B289:D289"/>
    <mergeCell ref="B294:D294"/>
    <mergeCell ref="B284:D284"/>
    <mergeCell ref="F272:F273"/>
    <mergeCell ref="G272:G273"/>
    <mergeCell ref="B277:L277"/>
    <mergeCell ref="B276:L276"/>
    <mergeCell ref="G305:G306"/>
    <mergeCell ref="F309:F310"/>
    <mergeCell ref="G309:G310"/>
    <mergeCell ref="H309:H310"/>
    <mergeCell ref="F311:F312"/>
    <mergeCell ref="G311:G312"/>
    <mergeCell ref="H311:H312"/>
    <mergeCell ref="B308:E308"/>
    <mergeCell ref="B309:E310"/>
    <mergeCell ref="B311:E312"/>
    <mergeCell ref="H305:H306"/>
    <mergeCell ref="B307:E307"/>
    <mergeCell ref="B305:E306"/>
    <mergeCell ref="F305:F306"/>
    <mergeCell ref="B262:E262"/>
    <mergeCell ref="B263:E263"/>
    <mergeCell ref="B264:E265"/>
    <mergeCell ref="B266:E267"/>
    <mergeCell ref="B269:E269"/>
    <mergeCell ref="B270:E271"/>
    <mergeCell ref="B272:E273"/>
    <mergeCell ref="B302:E302"/>
    <mergeCell ref="B303:E304"/>
    <mergeCell ref="B301:E301"/>
    <mergeCell ref="B290:D290"/>
    <mergeCell ref="B291:D291"/>
    <mergeCell ref="B295:D295"/>
    <mergeCell ref="B296:D296"/>
    <mergeCell ref="B292:L293"/>
    <mergeCell ref="F264:F265"/>
    <mergeCell ref="G264:G265"/>
    <mergeCell ref="H264:H265"/>
    <mergeCell ref="F266:F267"/>
    <mergeCell ref="G266:G267"/>
    <mergeCell ref="H266:H267"/>
    <mergeCell ref="F270:F271"/>
    <mergeCell ref="G270:G271"/>
    <mergeCell ref="H270:H271"/>
  </mergeCells>
  <phoneticPr fontId="18" type="noConversion"/>
  <conditionalFormatting sqref="F263:H264 F266:H266 F269:H270 F272:H272">
    <cfRule type="cellIs" dxfId="34" priority="4" operator="equal">
      <formula>"Error"</formula>
    </cfRule>
  </conditionalFormatting>
  <conditionalFormatting sqref="F302:H303 F305:H305">
    <cfRule type="cellIs" dxfId="33" priority="2" operator="equal">
      <formula>"Error"</formula>
    </cfRule>
  </conditionalFormatting>
  <conditionalFormatting sqref="F308:H309 F311:H311">
    <cfRule type="cellIs" dxfId="32" priority="1" operator="equal">
      <formula>"Error"</formula>
    </cfRule>
  </conditionalFormatting>
  <dataValidations xWindow="417" yWindow="363"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7 E286:L286 G219:K219 E241:L241 E245:L245 E249:L249 E253:L253 E257:L257 E291:L291 E296:L296 F305:H305 F302:H303 F311:H311 F308:H309 F266:H266 F263:H264 F272:H272 F269:H270 G42:K42 G39:K39 G36:K36 G30:K30 H25:K27 G33:K33 G50:K51" xr:uid="{72976589-ADC1-4497-B4BE-A694751FADD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56:B58 B70 B84 B97 B110 B125 B144 B158 B172 B197 B73:B74 B87:B88 B186" xr:uid="{0E1763AA-C851-4790-9B75-66F32446FBF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5:G26 G28:K29 G31:K32 G37:K38 G40:K41 G140:K140 G214:K218 E239:L240 E243:L244 E247:L248 E251:L252 E255:L256 E284:L285 E289:L290 E294:L295 G34:K35" xr:uid="{008176F5-099A-4677-B6B4-C7604F9097F7}">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64" min="1" max="10" man="1"/>
    <brk id="118" min="1" max="11" man="1"/>
    <brk id="166" min="1" max="11" man="1"/>
    <brk id="232" min="1" max="11" man="1"/>
    <brk id="27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P421"/>
  <sheetViews>
    <sheetView showGridLines="0" zoomScaleNormal="100" zoomScaleSheetLayoutView="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8.5703125" style="2" customWidth="1"/>
    <col min="18" max="16384" width="9.140625" style="2"/>
  </cols>
  <sheetData>
    <row r="1" spans="1:16" x14ac:dyDescent="0.25">
      <c r="O1" s="2" t="s">
        <v>744</v>
      </c>
      <c r="P1" s="2" t="s">
        <v>744</v>
      </c>
    </row>
    <row r="2" spans="1:16" x14ac:dyDescent="0.25">
      <c r="B2" s="20" t="str">
        <f>'Pro 1'!B2</f>
        <v>PROTÉGÉ</v>
      </c>
      <c r="C2" s="20"/>
      <c r="D2" s="20"/>
      <c r="O2" s="3" t="s">
        <v>166</v>
      </c>
      <c r="P2" s="3" t="s">
        <v>167</v>
      </c>
    </row>
    <row r="3" spans="1:16" x14ac:dyDescent="0.25">
      <c r="B3" s="21"/>
      <c r="C3" s="21"/>
      <c r="D3" s="21"/>
      <c r="O3" s="8"/>
      <c r="P3" s="8"/>
    </row>
    <row r="4" spans="1:16" s="8" customFormat="1" x14ac:dyDescent="0.25">
      <c r="A4" s="13"/>
      <c r="B4" s="462" t="str">
        <f>Info!B4</f>
        <v>QUESTIONNAIRE À L’INTENTION DES PRODUCTEURS</v>
      </c>
      <c r="C4" s="463"/>
      <c r="D4" s="463"/>
      <c r="E4" s="463"/>
      <c r="F4" s="463"/>
      <c r="G4" s="463"/>
      <c r="H4" s="463"/>
      <c r="I4" s="463"/>
      <c r="J4" s="463"/>
      <c r="K4" s="463"/>
      <c r="L4" s="464"/>
      <c r="M4" s="15"/>
      <c r="N4" s="15"/>
      <c r="O4" s="14"/>
      <c r="P4" s="14"/>
    </row>
    <row r="5" spans="1:16" s="8" customFormat="1" x14ac:dyDescent="0.25">
      <c r="A5" s="13"/>
      <c r="B5" s="465" t="str">
        <f>Info!B5</f>
        <v>NQ-2026-005</v>
      </c>
      <c r="C5" s="466"/>
      <c r="D5" s="466"/>
      <c r="E5" s="466"/>
      <c r="F5" s="466"/>
      <c r="G5" s="466"/>
      <c r="H5" s="466"/>
      <c r="I5" s="466"/>
      <c r="J5" s="466"/>
      <c r="K5" s="466"/>
      <c r="L5" s="467"/>
      <c r="M5" s="15"/>
      <c r="N5" s="15"/>
      <c r="O5" s="14"/>
      <c r="P5" s="14"/>
    </row>
    <row r="6" spans="1:16" s="9" customFormat="1" x14ac:dyDescent="0.25">
      <c r="A6" s="13"/>
      <c r="B6" s="465" t="str">
        <f>Info!B6</f>
        <v>CERTAINS RAYONNAGES EN ACIER</v>
      </c>
      <c r="C6" s="466"/>
      <c r="D6" s="466"/>
      <c r="E6" s="466"/>
      <c r="F6" s="466"/>
      <c r="G6" s="466"/>
      <c r="H6" s="466"/>
      <c r="I6" s="466"/>
      <c r="J6" s="466"/>
      <c r="K6" s="466"/>
      <c r="L6" s="467"/>
      <c r="M6" s="14"/>
      <c r="N6" s="14"/>
      <c r="O6" s="10"/>
      <c r="P6" s="10"/>
    </row>
    <row r="7" spans="1:16" s="9" customFormat="1" x14ac:dyDescent="0.25">
      <c r="A7" s="13"/>
      <c r="B7" s="243"/>
      <c r="C7" s="28"/>
      <c r="D7" s="28"/>
      <c r="E7" s="28"/>
      <c r="F7" s="28"/>
      <c r="G7" s="28"/>
      <c r="H7" s="28"/>
      <c r="I7" s="28"/>
      <c r="J7" s="28"/>
      <c r="K7" s="28"/>
      <c r="L7" s="244"/>
      <c r="M7" s="14"/>
      <c r="N7" s="14"/>
      <c r="O7" s="5"/>
    </row>
    <row r="8" spans="1:16" s="9" customFormat="1" x14ac:dyDescent="0.25">
      <c r="A8" s="13"/>
      <c r="B8" s="607" t="str">
        <f>Public!B8</f>
        <v>Les questions suivantes font référence aux marchandises comme définies dans la description du produit de l'onglet Intro.</v>
      </c>
      <c r="C8" s="608"/>
      <c r="D8" s="608"/>
      <c r="E8" s="608"/>
      <c r="F8" s="608"/>
      <c r="G8" s="608"/>
      <c r="H8" s="608"/>
      <c r="I8" s="608"/>
      <c r="J8" s="608"/>
      <c r="K8" s="608"/>
      <c r="L8" s="609"/>
      <c r="M8" s="14"/>
      <c r="N8" s="14"/>
      <c r="O8" s="10"/>
      <c r="P8" s="10"/>
    </row>
    <row r="9" spans="1:16" s="9" customFormat="1" x14ac:dyDescent="0.25">
      <c r="A9" s="13"/>
      <c r="B9" s="607" t="str">
        <f>Public!B9</f>
        <v>Des informations sur le produit et un glossaire de termes sont disponibles dans l'onglet Info.</v>
      </c>
      <c r="C9" s="608"/>
      <c r="D9" s="608"/>
      <c r="E9" s="608"/>
      <c r="F9" s="608"/>
      <c r="G9" s="608"/>
      <c r="H9" s="608"/>
      <c r="I9" s="608"/>
      <c r="J9" s="608"/>
      <c r="K9" s="608"/>
      <c r="L9" s="609"/>
      <c r="M9" s="14"/>
      <c r="N9" s="14"/>
      <c r="O9" s="10"/>
    </row>
    <row r="10" spans="1:16" s="9" customFormat="1" x14ac:dyDescent="0.25">
      <c r="A10" s="13"/>
      <c r="B10" s="607" t="str">
        <f>'Pro 1'!B10</f>
        <v xml:space="preserve">Utilisez l'onglet AddPro si vous avez besoin de plus d'espace.
</v>
      </c>
      <c r="C10" s="608"/>
      <c r="D10" s="608"/>
      <c r="E10" s="608"/>
      <c r="F10" s="608"/>
      <c r="G10" s="608"/>
      <c r="H10" s="608"/>
      <c r="I10" s="608"/>
      <c r="J10" s="608"/>
      <c r="K10" s="608"/>
      <c r="L10" s="609"/>
      <c r="M10" s="14"/>
      <c r="N10" s="14"/>
      <c r="O10" s="10"/>
      <c r="P10" s="10"/>
    </row>
    <row r="11" spans="1:16" s="9" customFormat="1" x14ac:dyDescent="0.25">
      <c r="A11" s="13"/>
      <c r="B11" s="245"/>
      <c r="C11" s="242"/>
      <c r="D11" s="242"/>
      <c r="E11" s="28"/>
      <c r="F11" s="28"/>
      <c r="G11" s="28"/>
      <c r="H11" s="28"/>
      <c r="I11" s="28"/>
      <c r="J11" s="28"/>
      <c r="K11" s="28"/>
      <c r="L11" s="244"/>
      <c r="M11" s="14"/>
      <c r="N11" s="14"/>
      <c r="O11" s="10"/>
      <c r="P11" s="10"/>
    </row>
    <row r="12" spans="1:16" s="9" customFormat="1" x14ac:dyDescent="0.25">
      <c r="A12" s="13"/>
      <c r="B12" s="607" t="str">
        <f>'Pro 2'!B12</f>
        <v>Pour les questions de cet onglet, notez ce qui suit :</v>
      </c>
      <c r="C12" s="608"/>
      <c r="D12" s="608"/>
      <c r="E12" s="608"/>
      <c r="F12" s="608"/>
      <c r="G12" s="608"/>
      <c r="H12" s="608"/>
      <c r="I12" s="608"/>
      <c r="J12" s="608"/>
      <c r="K12" s="608"/>
      <c r="L12" s="609"/>
      <c r="M12" s="14"/>
      <c r="N12" s="14"/>
      <c r="O12" s="10"/>
      <c r="P12" s="10"/>
    </row>
    <row r="13" spans="1:16" s="9" customFormat="1" x14ac:dyDescent="0.25">
      <c r="A13" s="5"/>
      <c r="B13" s="755" t="str">
        <f>IF(Intro!$G$21="English",O13,P13)</f>
        <v xml:space="preserve">• Les états doivent être établis selon la méthode du coût d'absorption totale et doivent être déclarés sur la base de l'année civile. </v>
      </c>
      <c r="C13" s="756"/>
      <c r="D13" s="756"/>
      <c r="E13" s="756"/>
      <c r="F13" s="756"/>
      <c r="G13" s="756"/>
      <c r="H13" s="756"/>
      <c r="I13" s="756"/>
      <c r="J13" s="756"/>
      <c r="K13" s="756"/>
      <c r="L13" s="757"/>
      <c r="M13" s="14"/>
      <c r="N13" s="14"/>
      <c r="O13" s="10" t="s">
        <v>591</v>
      </c>
      <c r="P13" s="10" t="s">
        <v>592</v>
      </c>
    </row>
    <row r="14" spans="1:16" s="9" customFormat="1" x14ac:dyDescent="0.25">
      <c r="A14" s="13"/>
      <c r="B14" s="610" t="str">
        <f>'Pro 2'!B16</f>
        <v>• Déclarez toutes les valeurs en dollars canadiens (CAD).</v>
      </c>
      <c r="C14" s="611"/>
      <c r="D14" s="611"/>
      <c r="E14" s="611"/>
      <c r="F14" s="611"/>
      <c r="G14" s="611"/>
      <c r="H14" s="611"/>
      <c r="I14" s="611"/>
      <c r="J14" s="611"/>
      <c r="K14" s="611"/>
      <c r="L14" s="612"/>
      <c r="M14" s="14"/>
      <c r="N14" s="14"/>
      <c r="O14" s="10"/>
      <c r="P14" s="10"/>
    </row>
    <row r="15" spans="1:16" s="9" customFormat="1" x14ac:dyDescent="0.25">
      <c r="A15" s="13"/>
      <c r="B15" s="22"/>
      <c r="C15" s="22"/>
      <c r="D15" s="22"/>
      <c r="E15" s="23"/>
      <c r="F15" s="23"/>
      <c r="G15" s="23"/>
      <c r="H15" s="23"/>
      <c r="I15" s="23"/>
      <c r="J15" s="23"/>
      <c r="K15" s="23"/>
      <c r="L15" s="23"/>
      <c r="O15" s="10"/>
      <c r="P15" s="10"/>
    </row>
    <row r="16" spans="1:16" x14ac:dyDescent="0.25">
      <c r="B16" s="453" t="str">
        <f>IF(Intro!$G$21="English",O16,P16)</f>
        <v>COÛT DES MARCHANDISES FABRIQUÉES - POUR LES MARCHANDISES SEULEMENT</v>
      </c>
      <c r="C16" s="454"/>
      <c r="D16" s="454"/>
      <c r="E16" s="454"/>
      <c r="F16" s="454"/>
      <c r="G16" s="454"/>
      <c r="H16" s="454"/>
      <c r="I16" s="454"/>
      <c r="J16" s="454"/>
      <c r="K16" s="454"/>
      <c r="L16" s="455"/>
      <c r="M16" s="2"/>
      <c r="O16" s="199" t="s">
        <v>844</v>
      </c>
      <c r="P16" s="199" t="s">
        <v>849</v>
      </c>
    </row>
    <row r="17" spans="2:16" x14ac:dyDescent="0.25">
      <c r="B17" s="585" t="s">
        <v>20</v>
      </c>
      <c r="C17" s="586"/>
      <c r="D17" s="586"/>
      <c r="E17" s="586"/>
      <c r="F17" s="586"/>
      <c r="G17" s="586"/>
      <c r="H17" s="586"/>
      <c r="I17" s="586"/>
      <c r="J17" s="586"/>
      <c r="K17" s="586"/>
      <c r="L17" s="587"/>
      <c r="M17" s="2"/>
    </row>
    <row r="18" spans="2:16" x14ac:dyDescent="0.25">
      <c r="B18" s="24"/>
      <c r="C18" s="25"/>
      <c r="D18" s="25"/>
      <c r="E18" s="26"/>
      <c r="F18" s="26"/>
      <c r="G18" s="26"/>
      <c r="H18" s="26"/>
      <c r="I18" s="26"/>
      <c r="J18" s="26"/>
      <c r="K18" s="26"/>
      <c r="L18" s="27"/>
      <c r="M18" s="2"/>
    </row>
    <row r="19" spans="2:16" x14ac:dyDescent="0.25">
      <c r="B19" s="456" t="str">
        <f>IF(Intro!$G$21="English",O19,P19)</f>
        <v>Fournissez l'état du coût des marchandises fabriquées de votre entreprise pour ses ventes au Canada et à l'exportation des marchandises produites au Canada.</v>
      </c>
      <c r="C19" s="457"/>
      <c r="D19" s="457"/>
      <c r="E19" s="457"/>
      <c r="F19" s="457"/>
      <c r="G19" s="457"/>
      <c r="H19" s="457"/>
      <c r="I19" s="457"/>
      <c r="J19" s="457"/>
      <c r="K19" s="457"/>
      <c r="L19" s="458"/>
      <c r="M19" s="2"/>
      <c r="O19" s="11" t="s">
        <v>421</v>
      </c>
      <c r="P19" s="2" t="s">
        <v>159</v>
      </c>
    </row>
    <row r="20" spans="2:16" x14ac:dyDescent="0.25">
      <c r="B20" s="159"/>
      <c r="C20" s="160"/>
      <c r="D20" s="25"/>
      <c r="E20" s="26"/>
      <c r="F20" s="26"/>
      <c r="G20" s="26"/>
      <c r="H20" s="26"/>
      <c r="I20" s="26"/>
      <c r="J20" s="26"/>
      <c r="K20" s="26"/>
      <c r="L20" s="27"/>
      <c r="M20" s="2"/>
      <c r="O20" s="11"/>
    </row>
    <row r="21" spans="2:16" x14ac:dyDescent="0.25">
      <c r="B21" s="740" t="str">
        <f>IF(Intro!$G$21="English",O21,P21)</f>
        <v>Pour les ventes au Canada</v>
      </c>
      <c r="C21" s="741"/>
      <c r="D21" s="741"/>
      <c r="E21" s="741"/>
      <c r="F21" s="742"/>
      <c r="G21" s="707">
        <f>Variables!$B$6</f>
        <v>2023</v>
      </c>
      <c r="H21" s="707">
        <f>G21+1</f>
        <v>2024</v>
      </c>
      <c r="I21" s="707">
        <f>H21+1</f>
        <v>2025</v>
      </c>
      <c r="J21" s="707" t="str">
        <f>J382</f>
        <v>janv- mars 2025</v>
      </c>
      <c r="K21" s="663" t="str">
        <f>K382</f>
        <v>janv- mars 2026</v>
      </c>
      <c r="L21" s="283"/>
      <c r="M21" s="2"/>
      <c r="O21" s="11" t="s">
        <v>43</v>
      </c>
      <c r="P21" s="11" t="s">
        <v>44</v>
      </c>
    </row>
    <row r="22" spans="2:16" x14ac:dyDescent="0.25">
      <c r="B22" s="743"/>
      <c r="C22" s="744"/>
      <c r="D22" s="744"/>
      <c r="E22" s="744"/>
      <c r="F22" s="745"/>
      <c r="G22" s="708"/>
      <c r="H22" s="708"/>
      <c r="I22" s="708"/>
      <c r="J22" s="708"/>
      <c r="K22" s="663"/>
      <c r="L22" s="283"/>
      <c r="M22" s="2"/>
      <c r="O22" s="11"/>
      <c r="P22" s="11"/>
    </row>
    <row r="23" spans="2:16" x14ac:dyDescent="0.25">
      <c r="B23" s="595" t="str">
        <f>'Pro 1'!B21</f>
        <v>Production pour les ventes au Canada</v>
      </c>
      <c r="C23" s="596"/>
      <c r="D23" s="596"/>
      <c r="E23" s="597"/>
      <c r="F23" s="206" t="str">
        <f>'Pro 1'!F21</f>
        <v>tonnes</v>
      </c>
      <c r="G23" s="278">
        <f>'Pro 1'!G21</f>
        <v>0</v>
      </c>
      <c r="H23" s="278">
        <f>'Pro 1'!H21</f>
        <v>0</v>
      </c>
      <c r="I23" s="278">
        <f>'Pro 1'!I21</f>
        <v>0</v>
      </c>
      <c r="J23" s="278">
        <f>'Pro 1'!J21</f>
        <v>0</v>
      </c>
      <c r="K23" s="278">
        <f>'Pro 1'!K21</f>
        <v>0</v>
      </c>
      <c r="L23" s="283"/>
      <c r="M23" s="2"/>
      <c r="O23" s="11"/>
      <c r="P23" s="11"/>
    </row>
    <row r="24" spans="2:16" x14ac:dyDescent="0.25">
      <c r="B24" s="595" t="str">
        <f>IF(Intro!$G$21="English",O24,P24)</f>
        <v>Stock d'ouverture des marchandises en cours de fabrication</v>
      </c>
      <c r="C24" s="596"/>
      <c r="D24" s="596"/>
      <c r="E24" s="597"/>
      <c r="F24" s="206" t="s">
        <v>563</v>
      </c>
      <c r="G24" s="270"/>
      <c r="H24" s="270"/>
      <c r="I24" s="270"/>
      <c r="J24" s="270"/>
      <c r="K24" s="270"/>
      <c r="L24" s="283"/>
      <c r="M24" s="2"/>
      <c r="O24" s="2" t="s">
        <v>57</v>
      </c>
      <c r="P24" s="2" t="s">
        <v>58</v>
      </c>
    </row>
    <row r="25" spans="2:16" x14ac:dyDescent="0.25">
      <c r="B25" s="746" t="str">
        <f>IF(Intro!$G$21="English",O25,P25)</f>
        <v xml:space="preserve">La matière directe utilisée 1 - </v>
      </c>
      <c r="C25" s="747"/>
      <c r="D25" s="747"/>
      <c r="E25" s="748"/>
      <c r="F25" s="206" t="s">
        <v>563</v>
      </c>
      <c r="G25" s="270"/>
      <c r="H25" s="270"/>
      <c r="I25" s="270"/>
      <c r="J25" s="270"/>
      <c r="K25" s="270"/>
      <c r="L25" s="283"/>
      <c r="M25" s="2"/>
      <c r="O25" s="11" t="str">
        <f>"Direct material used 1 - "&amp;Public!D175</f>
        <v xml:space="preserve">Direct material used 1 - </v>
      </c>
      <c r="P25" s="2" t="str">
        <f>"La matière directe utilisée 1 - "&amp;Public!D175</f>
        <v xml:space="preserve">La matière directe utilisée 1 - </v>
      </c>
    </row>
    <row r="26" spans="2:16" x14ac:dyDescent="0.25">
      <c r="B26" s="746" t="str">
        <f>IF(Intro!$G$21="English",O26,P26)</f>
        <v xml:space="preserve">La matière directe utilisée 2 - </v>
      </c>
      <c r="C26" s="747"/>
      <c r="D26" s="747"/>
      <c r="E26" s="748"/>
      <c r="F26" s="206" t="s">
        <v>563</v>
      </c>
      <c r="G26" s="270"/>
      <c r="H26" s="270"/>
      <c r="I26" s="270"/>
      <c r="J26" s="270"/>
      <c r="K26" s="270"/>
      <c r="L26" s="283"/>
      <c r="M26" s="2"/>
      <c r="O26" s="11" t="str">
        <f>"Direct material used 2 - "&amp;Public!D176</f>
        <v xml:space="preserve">Direct material used 2 - </v>
      </c>
      <c r="P26" s="2" t="str">
        <f>"La matière directe utilisée 2 - "&amp;Public!D176</f>
        <v xml:space="preserve">La matière directe utilisée 2 - </v>
      </c>
    </row>
    <row r="27" spans="2:16" x14ac:dyDescent="0.25">
      <c r="B27" s="746" t="str">
        <f>IF(Intro!$G$21="English",O27,P27)</f>
        <v xml:space="preserve">La matière directe utilisée 3 - </v>
      </c>
      <c r="C27" s="747"/>
      <c r="D27" s="747"/>
      <c r="E27" s="748"/>
      <c r="F27" s="206" t="s">
        <v>563</v>
      </c>
      <c r="G27" s="270"/>
      <c r="H27" s="270"/>
      <c r="I27" s="270"/>
      <c r="J27" s="270"/>
      <c r="K27" s="270"/>
      <c r="L27" s="283"/>
      <c r="M27" s="2"/>
      <c r="O27" s="11" t="str">
        <f>"Direct material used 3 - "&amp;Public!D177</f>
        <v xml:space="preserve">Direct material used 3 - </v>
      </c>
      <c r="P27" s="2" t="str">
        <f>"La matière directe utilisée 3 - "&amp;Public!D177</f>
        <v xml:space="preserve">La matière directe utilisée 3 - </v>
      </c>
    </row>
    <row r="28" spans="2:16" x14ac:dyDescent="0.25">
      <c r="B28" s="746" t="str">
        <f>IF(Intro!$G$21="English",O28,P28)</f>
        <v>Toutes les autres matières directes utilisées</v>
      </c>
      <c r="C28" s="747"/>
      <c r="D28" s="747"/>
      <c r="E28" s="748"/>
      <c r="F28" s="206" t="s">
        <v>563</v>
      </c>
      <c r="G28" s="270"/>
      <c r="H28" s="270"/>
      <c r="I28" s="270"/>
      <c r="J28" s="270"/>
      <c r="K28" s="270"/>
      <c r="L28" s="283"/>
      <c r="M28" s="2"/>
      <c r="O28" s="2" t="s">
        <v>59</v>
      </c>
      <c r="P28" s="2" t="s">
        <v>60</v>
      </c>
    </row>
    <row r="29" spans="2:16" ht="14.1" customHeight="1" x14ac:dyDescent="0.25">
      <c r="B29" s="595" t="str">
        <f>IF(Intro!$G$21="English",O29,P29)</f>
        <v>Total - matériaux</v>
      </c>
      <c r="C29" s="596"/>
      <c r="D29" s="596"/>
      <c r="E29" s="597"/>
      <c r="F29" s="206" t="s">
        <v>563</v>
      </c>
      <c r="G29" s="278">
        <f>SUM(G25:G28)</f>
        <v>0</v>
      </c>
      <c r="H29" s="278">
        <f t="shared" ref="H29:K29" si="0">SUM(H25:H28)</f>
        <v>0</v>
      </c>
      <c r="I29" s="278">
        <f t="shared" si="0"/>
        <v>0</v>
      </c>
      <c r="J29" s="278">
        <f t="shared" si="0"/>
        <v>0</v>
      </c>
      <c r="K29" s="278">
        <f t="shared" si="0"/>
        <v>0</v>
      </c>
      <c r="L29" s="283"/>
      <c r="M29" s="2"/>
      <c r="O29" s="2" t="s">
        <v>842</v>
      </c>
      <c r="P29" s="2" t="s">
        <v>843</v>
      </c>
    </row>
    <row r="30" spans="2:16" x14ac:dyDescent="0.25">
      <c r="B30" s="595" t="str">
        <f>IF(Intro!$G$21="English",O30,P30)</f>
        <v xml:space="preserve">Le montant des salaires associé à l’emploi direct </v>
      </c>
      <c r="C30" s="596"/>
      <c r="D30" s="596"/>
      <c r="E30" s="597"/>
      <c r="F30" s="206" t="s">
        <v>563</v>
      </c>
      <c r="G30" s="270"/>
      <c r="H30" s="270"/>
      <c r="I30" s="270"/>
      <c r="J30" s="270"/>
      <c r="K30" s="270"/>
      <c r="L30" s="283"/>
      <c r="M30" s="2"/>
      <c r="O30" s="2" t="s">
        <v>61</v>
      </c>
      <c r="P30" s="2" t="s">
        <v>62</v>
      </c>
    </row>
    <row r="31" spans="2:16" x14ac:dyDescent="0.25">
      <c r="B31" s="595" t="str">
        <f>IF(Intro!$G$21="English",O31,P31)</f>
        <v>Charges indirectes de fabrication</v>
      </c>
      <c r="C31" s="596"/>
      <c r="D31" s="596"/>
      <c r="E31" s="597"/>
      <c r="F31" s="206" t="s">
        <v>563</v>
      </c>
      <c r="G31" s="270"/>
      <c r="H31" s="270"/>
      <c r="I31" s="270"/>
      <c r="J31" s="270"/>
      <c r="K31" s="270"/>
      <c r="L31" s="283"/>
      <c r="M31" s="2"/>
      <c r="O31" s="2" t="s">
        <v>422</v>
      </c>
      <c r="P31" s="2" t="s">
        <v>63</v>
      </c>
    </row>
    <row r="32" spans="2:16" x14ac:dyDescent="0.25">
      <c r="B32" s="595" t="str">
        <f>IF(Intro!$G$21="English",O32,P32)</f>
        <v>Stock de clôture des marchandises en cours de fabrication</v>
      </c>
      <c r="C32" s="596"/>
      <c r="D32" s="596"/>
      <c r="E32" s="597"/>
      <c r="F32" s="206" t="s">
        <v>563</v>
      </c>
      <c r="G32" s="270"/>
      <c r="H32" s="270"/>
      <c r="I32" s="270"/>
      <c r="J32" s="270"/>
      <c r="K32" s="270"/>
      <c r="L32" s="283"/>
      <c r="M32" s="2"/>
      <c r="O32" s="2" t="s">
        <v>215</v>
      </c>
      <c r="P32" s="2" t="s">
        <v>600</v>
      </c>
    </row>
    <row r="33" spans="1:16" s="3" customFormat="1" x14ac:dyDescent="0.25">
      <c r="A33" s="18"/>
      <c r="B33" s="752" t="str">
        <f>IF(Intro!$G$21="English",O33,P33)</f>
        <v xml:space="preserve">Coût des marchandises fabriquées </v>
      </c>
      <c r="C33" s="753"/>
      <c r="D33" s="753"/>
      <c r="E33" s="754"/>
      <c r="F33" s="206" t="s">
        <v>563</v>
      </c>
      <c r="G33" s="271">
        <f>G24+G29+G30+G31-G32</f>
        <v>0</v>
      </c>
      <c r="H33" s="271">
        <f t="shared" ref="H33:K33" si="1">H24+H29+H30+H31-H32</f>
        <v>0</v>
      </c>
      <c r="I33" s="271">
        <f t="shared" si="1"/>
        <v>0</v>
      </c>
      <c r="J33" s="271">
        <f t="shared" si="1"/>
        <v>0</v>
      </c>
      <c r="K33" s="271">
        <f t="shared" si="1"/>
        <v>0</v>
      </c>
      <c r="L33" s="241"/>
      <c r="O33" s="3" t="s">
        <v>64</v>
      </c>
      <c r="P33" s="3" t="s">
        <v>65</v>
      </c>
    </row>
    <row r="34" spans="1:16" x14ac:dyDescent="0.25">
      <c r="B34" s="159"/>
      <c r="C34" s="160"/>
      <c r="D34" s="2"/>
      <c r="E34" s="2"/>
      <c r="F34" s="2"/>
      <c r="G34" s="25"/>
      <c r="H34" s="26"/>
      <c r="I34" s="26"/>
      <c r="J34" s="26"/>
      <c r="K34" s="26"/>
      <c r="L34" s="27"/>
      <c r="M34" s="2"/>
      <c r="O34" s="11"/>
    </row>
    <row r="35" spans="1:16" s="3" customFormat="1" ht="14.1" customHeight="1" x14ac:dyDescent="0.25">
      <c r="A35" s="18"/>
      <c r="B35" s="456" t="str">
        <f>IF(Intro!$G$21="English",O35,P35)</f>
        <v>Expliquez toute variation importante entre les périodes et toute irrégularité tels que des montants négatifs dans les montants indiqués ci-dessus.</v>
      </c>
      <c r="C35" s="457"/>
      <c r="D35" s="457"/>
      <c r="E35" s="457"/>
      <c r="F35" s="457"/>
      <c r="G35" s="457"/>
      <c r="H35" s="457"/>
      <c r="I35" s="457"/>
      <c r="J35" s="457"/>
      <c r="K35" s="457"/>
      <c r="L35" s="458"/>
      <c r="O35" s="2" t="s">
        <v>719</v>
      </c>
      <c r="P35" s="2" t="s">
        <v>841</v>
      </c>
    </row>
    <row r="36" spans="1:16" s="3" customFormat="1" x14ac:dyDescent="0.25">
      <c r="A36" s="18"/>
      <c r="B36" s="164"/>
      <c r="C36" s="151"/>
      <c r="D36" s="151"/>
      <c r="E36" s="151"/>
      <c r="F36" s="151"/>
      <c r="L36" s="241"/>
    </row>
    <row r="37" spans="1:16" s="3" customFormat="1" x14ac:dyDescent="0.25">
      <c r="A37" s="18"/>
      <c r="B37" s="749"/>
      <c r="C37" s="750"/>
      <c r="D37" s="750"/>
      <c r="E37" s="750"/>
      <c r="F37" s="750"/>
      <c r="G37" s="750"/>
      <c r="H37" s="750"/>
      <c r="I37" s="750"/>
      <c r="J37" s="750"/>
      <c r="K37" s="750"/>
      <c r="L37" s="751"/>
    </row>
    <row r="38" spans="1:16" s="3" customFormat="1" x14ac:dyDescent="0.25">
      <c r="A38" s="18"/>
      <c r="B38" s="749"/>
      <c r="C38" s="750"/>
      <c r="D38" s="750"/>
      <c r="E38" s="750"/>
      <c r="F38" s="750"/>
      <c r="G38" s="750"/>
      <c r="H38" s="750"/>
      <c r="I38" s="750"/>
      <c r="J38" s="750"/>
      <c r="K38" s="750"/>
      <c r="L38" s="751"/>
      <c r="O38" s="2"/>
      <c r="P38" s="2"/>
    </row>
    <row r="39" spans="1:16" s="3" customFormat="1" x14ac:dyDescent="0.25">
      <c r="A39" s="18"/>
      <c r="B39" s="749"/>
      <c r="C39" s="750"/>
      <c r="D39" s="750"/>
      <c r="E39" s="750"/>
      <c r="F39" s="750"/>
      <c r="G39" s="750"/>
      <c r="H39" s="750"/>
      <c r="I39" s="750"/>
      <c r="J39" s="750"/>
      <c r="K39" s="750"/>
      <c r="L39" s="751"/>
      <c r="O39" s="2"/>
      <c r="P39" s="2"/>
    </row>
    <row r="40" spans="1:16" s="3" customFormat="1" x14ac:dyDescent="0.25">
      <c r="A40" s="18"/>
      <c r="B40" s="749"/>
      <c r="C40" s="750"/>
      <c r="D40" s="750"/>
      <c r="E40" s="750"/>
      <c r="F40" s="750"/>
      <c r="G40" s="750"/>
      <c r="H40" s="750"/>
      <c r="I40" s="750"/>
      <c r="J40" s="750"/>
      <c r="K40" s="750"/>
      <c r="L40" s="751"/>
      <c r="O40" s="2"/>
      <c r="P40" s="2"/>
    </row>
    <row r="41" spans="1:16" s="3" customFormat="1" x14ac:dyDescent="0.25">
      <c r="A41" s="18"/>
      <c r="B41" s="749"/>
      <c r="C41" s="750"/>
      <c r="D41" s="750"/>
      <c r="E41" s="750"/>
      <c r="F41" s="750"/>
      <c r="G41" s="750"/>
      <c r="H41" s="750"/>
      <c r="I41" s="750"/>
      <c r="J41" s="750"/>
      <c r="K41" s="750"/>
      <c r="L41" s="751"/>
    </row>
    <row r="42" spans="1:16" s="3" customFormat="1" x14ac:dyDescent="0.25">
      <c r="A42" s="18"/>
      <c r="B42" s="749"/>
      <c r="C42" s="750"/>
      <c r="D42" s="750"/>
      <c r="E42" s="750"/>
      <c r="F42" s="750"/>
      <c r="G42" s="750"/>
      <c r="H42" s="750"/>
      <c r="I42" s="750"/>
      <c r="J42" s="750"/>
      <c r="K42" s="750"/>
      <c r="L42" s="751"/>
    </row>
    <row r="43" spans="1:16" s="3" customFormat="1" x14ac:dyDescent="0.25">
      <c r="A43" s="18"/>
      <c r="B43" s="749"/>
      <c r="C43" s="750"/>
      <c r="D43" s="750"/>
      <c r="E43" s="750"/>
      <c r="F43" s="750"/>
      <c r="G43" s="750"/>
      <c r="H43" s="750"/>
      <c r="I43" s="750"/>
      <c r="J43" s="750"/>
      <c r="K43" s="750"/>
      <c r="L43" s="751"/>
    </row>
    <row r="44" spans="1:16" s="3" customFormat="1" x14ac:dyDescent="0.25">
      <c r="A44" s="18"/>
      <c r="B44" s="749"/>
      <c r="C44" s="750"/>
      <c r="D44" s="750"/>
      <c r="E44" s="750"/>
      <c r="F44" s="750"/>
      <c r="G44" s="750"/>
      <c r="H44" s="750"/>
      <c r="I44" s="750"/>
      <c r="J44" s="750"/>
      <c r="K44" s="750"/>
      <c r="L44" s="751"/>
    </row>
    <row r="45" spans="1:16" x14ac:dyDescent="0.25">
      <c r="B45" s="159"/>
      <c r="C45" s="160"/>
      <c r="D45" s="2"/>
      <c r="E45" s="2"/>
      <c r="F45" s="2"/>
      <c r="G45" s="25"/>
      <c r="H45" s="26"/>
      <c r="I45" s="26"/>
      <c r="J45" s="26"/>
      <c r="K45" s="26"/>
      <c r="L45" s="27"/>
      <c r="M45" s="2"/>
      <c r="O45" s="11"/>
    </row>
    <row r="46" spans="1:16" x14ac:dyDescent="0.25">
      <c r="B46" s="740" t="str">
        <f>IF(Intro!$G$21="English",O46,P46)</f>
        <v>Pour les ventes à l'exportation</v>
      </c>
      <c r="C46" s="741"/>
      <c r="D46" s="741"/>
      <c r="E46" s="741"/>
      <c r="F46" s="742"/>
      <c r="G46" s="707">
        <f>Variables!$B$6</f>
        <v>2023</v>
      </c>
      <c r="H46" s="707">
        <f>G46+1</f>
        <v>2024</v>
      </c>
      <c r="I46" s="707">
        <f>H46+1</f>
        <v>2025</v>
      </c>
      <c r="J46" s="707" t="str">
        <f>J21</f>
        <v>janv- mars 2025</v>
      </c>
      <c r="K46" s="663" t="str">
        <f>K21</f>
        <v>janv- mars 2026</v>
      </c>
      <c r="L46" s="283"/>
      <c r="M46" s="2"/>
      <c r="O46" s="11" t="s">
        <v>216</v>
      </c>
      <c r="P46" s="11" t="s">
        <v>217</v>
      </c>
    </row>
    <row r="47" spans="1:16" x14ac:dyDescent="0.25">
      <c r="B47" s="743"/>
      <c r="C47" s="744"/>
      <c r="D47" s="744"/>
      <c r="E47" s="744"/>
      <c r="F47" s="745"/>
      <c r="G47" s="708"/>
      <c r="H47" s="708"/>
      <c r="I47" s="708"/>
      <c r="J47" s="708"/>
      <c r="K47" s="663"/>
      <c r="L47" s="283"/>
      <c r="M47" s="2"/>
      <c r="O47" s="11"/>
      <c r="P47" s="11"/>
    </row>
    <row r="48" spans="1:16" x14ac:dyDescent="0.25">
      <c r="B48" s="595" t="str">
        <f>'Pro 1'!B22</f>
        <v>Production pour les ventes à l'exportation</v>
      </c>
      <c r="C48" s="596"/>
      <c r="D48" s="596"/>
      <c r="E48" s="597"/>
      <c r="F48" s="206" t="str">
        <f>'Pro 1'!F22</f>
        <v>tonnes</v>
      </c>
      <c r="G48" s="278">
        <f>'Pro 1'!G22</f>
        <v>0</v>
      </c>
      <c r="H48" s="278">
        <f>'Pro 1'!H22</f>
        <v>0</v>
      </c>
      <c r="I48" s="278">
        <f>'Pro 1'!I22</f>
        <v>0</v>
      </c>
      <c r="J48" s="278">
        <f>'Pro 1'!J22</f>
        <v>0</v>
      </c>
      <c r="K48" s="278">
        <f>'Pro 1'!K22</f>
        <v>0</v>
      </c>
      <c r="L48" s="283"/>
      <c r="M48" s="2"/>
      <c r="O48" s="11"/>
      <c r="P48" s="11"/>
    </row>
    <row r="49" spans="1:16" x14ac:dyDescent="0.25">
      <c r="B49" s="595" t="str">
        <f t="shared" ref="B49:B58" si="2">B24</f>
        <v>Stock d'ouverture des marchandises en cours de fabrication</v>
      </c>
      <c r="C49" s="596"/>
      <c r="D49" s="596"/>
      <c r="E49" s="597"/>
      <c r="F49" s="214" t="s">
        <v>563</v>
      </c>
      <c r="G49" s="274"/>
      <c r="H49" s="274"/>
      <c r="I49" s="274"/>
      <c r="J49" s="274"/>
      <c r="K49" s="274"/>
      <c r="L49" s="283"/>
      <c r="M49" s="2"/>
    </row>
    <row r="50" spans="1:16" x14ac:dyDescent="0.25">
      <c r="B50" s="746" t="str">
        <f t="shared" si="2"/>
        <v xml:space="preserve">La matière directe utilisée 1 - </v>
      </c>
      <c r="C50" s="747"/>
      <c r="D50" s="747"/>
      <c r="E50" s="748"/>
      <c r="F50" s="214" t="s">
        <v>563</v>
      </c>
      <c r="G50" s="274"/>
      <c r="H50" s="274"/>
      <c r="I50" s="274"/>
      <c r="J50" s="274"/>
      <c r="K50" s="274"/>
      <c r="L50" s="283"/>
      <c r="M50" s="2"/>
      <c r="O50" s="11"/>
    </row>
    <row r="51" spans="1:16" x14ac:dyDescent="0.25">
      <c r="B51" s="746" t="str">
        <f t="shared" si="2"/>
        <v xml:space="preserve">La matière directe utilisée 2 - </v>
      </c>
      <c r="C51" s="747"/>
      <c r="D51" s="747"/>
      <c r="E51" s="748"/>
      <c r="F51" s="214" t="s">
        <v>563</v>
      </c>
      <c r="G51" s="274"/>
      <c r="H51" s="274"/>
      <c r="I51" s="274"/>
      <c r="J51" s="274"/>
      <c r="K51" s="274"/>
      <c r="L51" s="283"/>
      <c r="M51" s="2"/>
      <c r="O51" s="11"/>
    </row>
    <row r="52" spans="1:16" x14ac:dyDescent="0.25">
      <c r="B52" s="746" t="str">
        <f t="shared" si="2"/>
        <v xml:space="preserve">La matière directe utilisée 3 - </v>
      </c>
      <c r="C52" s="747"/>
      <c r="D52" s="747"/>
      <c r="E52" s="748"/>
      <c r="F52" s="214" t="s">
        <v>563</v>
      </c>
      <c r="G52" s="274"/>
      <c r="H52" s="274"/>
      <c r="I52" s="274"/>
      <c r="J52" s="274"/>
      <c r="K52" s="274"/>
      <c r="L52" s="283"/>
      <c r="M52" s="2"/>
      <c r="O52" s="11"/>
    </row>
    <row r="53" spans="1:16" x14ac:dyDescent="0.25">
      <c r="B53" s="746" t="str">
        <f t="shared" si="2"/>
        <v>Toutes les autres matières directes utilisées</v>
      </c>
      <c r="C53" s="747"/>
      <c r="D53" s="747"/>
      <c r="E53" s="748"/>
      <c r="F53" s="214" t="s">
        <v>563</v>
      </c>
      <c r="G53" s="274"/>
      <c r="H53" s="274"/>
      <c r="I53" s="274"/>
      <c r="J53" s="274"/>
      <c r="K53" s="274"/>
      <c r="L53" s="283"/>
      <c r="M53" s="2"/>
    </row>
    <row r="54" spans="1:16" ht="14.1" customHeight="1" x14ac:dyDescent="0.25">
      <c r="B54" s="595" t="str">
        <f t="shared" si="2"/>
        <v>Total - matériaux</v>
      </c>
      <c r="C54" s="596"/>
      <c r="D54" s="596"/>
      <c r="E54" s="597"/>
      <c r="F54" s="206" t="s">
        <v>563</v>
      </c>
      <c r="G54" s="278">
        <f>SUM(G50:G53)</f>
        <v>0</v>
      </c>
      <c r="H54" s="278">
        <f t="shared" ref="H54:K54" si="3">SUM(H50:H53)</f>
        <v>0</v>
      </c>
      <c r="I54" s="278">
        <f t="shared" si="3"/>
        <v>0</v>
      </c>
      <c r="J54" s="278">
        <f t="shared" si="3"/>
        <v>0</v>
      </c>
      <c r="K54" s="278">
        <f t="shared" si="3"/>
        <v>0</v>
      </c>
      <c r="L54" s="283"/>
      <c r="M54" s="2"/>
    </row>
    <row r="55" spans="1:16" x14ac:dyDescent="0.25">
      <c r="B55" s="595" t="str">
        <f t="shared" si="2"/>
        <v xml:space="preserve">Le montant des salaires associé à l’emploi direct </v>
      </c>
      <c r="C55" s="596"/>
      <c r="D55" s="596"/>
      <c r="E55" s="597"/>
      <c r="F55" s="214" t="s">
        <v>563</v>
      </c>
      <c r="G55" s="274"/>
      <c r="H55" s="274"/>
      <c r="I55" s="274"/>
      <c r="J55" s="274"/>
      <c r="K55" s="274"/>
      <c r="L55" s="283"/>
      <c r="M55" s="2"/>
    </row>
    <row r="56" spans="1:16" x14ac:dyDescent="0.25">
      <c r="B56" s="595" t="str">
        <f t="shared" si="2"/>
        <v>Charges indirectes de fabrication</v>
      </c>
      <c r="C56" s="596"/>
      <c r="D56" s="596"/>
      <c r="E56" s="597"/>
      <c r="F56" s="214" t="s">
        <v>563</v>
      </c>
      <c r="G56" s="274"/>
      <c r="H56" s="274"/>
      <c r="I56" s="274"/>
      <c r="J56" s="274"/>
      <c r="K56" s="274"/>
      <c r="L56" s="283"/>
      <c r="M56" s="2"/>
    </row>
    <row r="57" spans="1:16" x14ac:dyDescent="0.25">
      <c r="B57" s="595" t="str">
        <f t="shared" si="2"/>
        <v>Stock de clôture des marchandises en cours de fabrication</v>
      </c>
      <c r="C57" s="596"/>
      <c r="D57" s="596"/>
      <c r="E57" s="597"/>
      <c r="F57" s="214" t="s">
        <v>563</v>
      </c>
      <c r="G57" s="274"/>
      <c r="H57" s="274"/>
      <c r="I57" s="274"/>
      <c r="J57" s="274"/>
      <c r="K57" s="274"/>
      <c r="L57" s="283"/>
      <c r="M57" s="2"/>
    </row>
    <row r="58" spans="1:16" s="3" customFormat="1" x14ac:dyDescent="0.25">
      <c r="A58" s="18"/>
      <c r="B58" s="752" t="str">
        <f t="shared" si="2"/>
        <v xml:space="preserve">Coût des marchandises fabriquées </v>
      </c>
      <c r="C58" s="753"/>
      <c r="D58" s="753"/>
      <c r="E58" s="754"/>
      <c r="F58" s="214" t="s">
        <v>563</v>
      </c>
      <c r="G58" s="271">
        <f>G49+G54+G55+G56-G57</f>
        <v>0</v>
      </c>
      <c r="H58" s="271">
        <f t="shared" ref="H58:K58" si="4">H49+H54+H55+H56-H57</f>
        <v>0</v>
      </c>
      <c r="I58" s="271">
        <f t="shared" si="4"/>
        <v>0</v>
      </c>
      <c r="J58" s="271">
        <f t="shared" si="4"/>
        <v>0</v>
      </c>
      <c r="K58" s="271">
        <f t="shared" si="4"/>
        <v>0</v>
      </c>
      <c r="L58" s="241"/>
    </row>
    <row r="59" spans="1:16" x14ac:dyDescent="0.25">
      <c r="B59" s="170"/>
      <c r="C59" s="171"/>
      <c r="D59" s="171"/>
      <c r="E59" s="171"/>
      <c r="F59" s="171"/>
      <c r="G59" s="171"/>
      <c r="H59" s="171"/>
      <c r="I59" s="171"/>
      <c r="J59" s="171"/>
      <c r="K59" s="171"/>
      <c r="L59" s="172"/>
      <c r="M59" s="2"/>
    </row>
    <row r="60" spans="1:16" s="3" customFormat="1" x14ac:dyDescent="0.25">
      <c r="A60" s="18"/>
      <c r="B60" s="456" t="str">
        <f>B35</f>
        <v>Expliquez toute variation importante entre les périodes et toute irrégularité tels que des montants négatifs dans les montants indiqués ci-dessus.</v>
      </c>
      <c r="C60" s="457"/>
      <c r="D60" s="457"/>
      <c r="E60" s="457"/>
      <c r="F60" s="457"/>
      <c r="G60" s="457"/>
      <c r="H60" s="457"/>
      <c r="I60" s="457"/>
      <c r="J60" s="457"/>
      <c r="K60" s="457"/>
      <c r="L60" s="458"/>
      <c r="O60" s="2"/>
      <c r="P60" s="2"/>
    </row>
    <row r="61" spans="1:16" s="3" customFormat="1" x14ac:dyDescent="0.25">
      <c r="A61" s="18"/>
      <c r="B61" s="164"/>
      <c r="C61" s="151"/>
      <c r="D61" s="151"/>
      <c r="E61" s="151"/>
      <c r="F61" s="151"/>
      <c r="L61" s="241"/>
    </row>
    <row r="62" spans="1:16" s="3" customFormat="1" x14ac:dyDescent="0.25">
      <c r="A62" s="18"/>
      <c r="B62" s="749"/>
      <c r="C62" s="750"/>
      <c r="D62" s="750"/>
      <c r="E62" s="750"/>
      <c r="F62" s="750"/>
      <c r="G62" s="750"/>
      <c r="H62" s="750"/>
      <c r="I62" s="750"/>
      <c r="J62" s="750"/>
      <c r="K62" s="750"/>
      <c r="L62" s="751"/>
    </row>
    <row r="63" spans="1:16" s="3" customFormat="1" x14ac:dyDescent="0.25">
      <c r="A63" s="18"/>
      <c r="B63" s="749"/>
      <c r="C63" s="750"/>
      <c r="D63" s="750"/>
      <c r="E63" s="750"/>
      <c r="F63" s="750"/>
      <c r="G63" s="750"/>
      <c r="H63" s="750"/>
      <c r="I63" s="750"/>
      <c r="J63" s="750"/>
      <c r="K63" s="750"/>
      <c r="L63" s="751"/>
      <c r="O63" s="2"/>
      <c r="P63" s="2"/>
    </row>
    <row r="64" spans="1:16" s="3" customFormat="1" x14ac:dyDescent="0.25">
      <c r="A64" s="18"/>
      <c r="B64" s="749"/>
      <c r="C64" s="750"/>
      <c r="D64" s="750"/>
      <c r="E64" s="750"/>
      <c r="F64" s="750"/>
      <c r="G64" s="750"/>
      <c r="H64" s="750"/>
      <c r="I64" s="750"/>
      <c r="J64" s="750"/>
      <c r="K64" s="750"/>
      <c r="L64" s="751"/>
      <c r="O64" s="2"/>
      <c r="P64" s="2"/>
    </row>
    <row r="65" spans="1:16" s="3" customFormat="1" x14ac:dyDescent="0.25">
      <c r="A65" s="18"/>
      <c r="B65" s="749"/>
      <c r="C65" s="750"/>
      <c r="D65" s="750"/>
      <c r="E65" s="750"/>
      <c r="F65" s="750"/>
      <c r="G65" s="750"/>
      <c r="H65" s="750"/>
      <c r="I65" s="750"/>
      <c r="J65" s="750"/>
      <c r="K65" s="750"/>
      <c r="L65" s="751"/>
      <c r="O65" s="2"/>
      <c r="P65" s="2"/>
    </row>
    <row r="66" spans="1:16" s="3" customFormat="1" x14ac:dyDescent="0.25">
      <c r="A66" s="18"/>
      <c r="B66" s="749"/>
      <c r="C66" s="750"/>
      <c r="D66" s="750"/>
      <c r="E66" s="750"/>
      <c r="F66" s="750"/>
      <c r="G66" s="750"/>
      <c r="H66" s="750"/>
      <c r="I66" s="750"/>
      <c r="J66" s="750"/>
      <c r="K66" s="750"/>
      <c r="L66" s="751"/>
    </row>
    <row r="67" spans="1:16" s="3" customFormat="1" x14ac:dyDescent="0.25">
      <c r="A67" s="18"/>
      <c r="B67" s="749"/>
      <c r="C67" s="750"/>
      <c r="D67" s="750"/>
      <c r="E67" s="750"/>
      <c r="F67" s="750"/>
      <c r="G67" s="750"/>
      <c r="H67" s="750"/>
      <c r="I67" s="750"/>
      <c r="J67" s="750"/>
      <c r="K67" s="750"/>
      <c r="L67" s="751"/>
    </row>
    <row r="68" spans="1:16" s="3" customFormat="1" x14ac:dyDescent="0.25">
      <c r="A68" s="18"/>
      <c r="B68" s="749"/>
      <c r="C68" s="750"/>
      <c r="D68" s="750"/>
      <c r="E68" s="750"/>
      <c r="F68" s="750"/>
      <c r="G68" s="750"/>
      <c r="H68" s="750"/>
      <c r="I68" s="750"/>
      <c r="J68" s="750"/>
      <c r="K68" s="750"/>
      <c r="L68" s="751"/>
    </row>
    <row r="69" spans="1:16" s="3" customFormat="1" x14ac:dyDescent="0.25">
      <c r="A69" s="18"/>
      <c r="B69" s="749"/>
      <c r="C69" s="750"/>
      <c r="D69" s="750"/>
      <c r="E69" s="750"/>
      <c r="F69" s="750"/>
      <c r="G69" s="750"/>
      <c r="H69" s="750"/>
      <c r="I69" s="750"/>
      <c r="J69" s="750"/>
      <c r="K69" s="750"/>
      <c r="L69" s="751"/>
    </row>
    <row r="70" spans="1:16" x14ac:dyDescent="0.25">
      <c r="B70" s="159"/>
      <c r="C70" s="160"/>
      <c r="D70" s="2"/>
      <c r="E70" s="2"/>
      <c r="F70" s="2"/>
      <c r="G70" s="25"/>
      <c r="H70" s="26"/>
      <c r="I70" s="26"/>
      <c r="J70" s="26"/>
      <c r="K70" s="26"/>
      <c r="L70" s="27"/>
      <c r="M70" s="2"/>
      <c r="O70" s="11"/>
    </row>
    <row r="71" spans="1:16" s="3" customFormat="1" x14ac:dyDescent="0.25">
      <c r="A71" s="12"/>
      <c r="B71" s="585" t="s">
        <v>21</v>
      </c>
      <c r="C71" s="586"/>
      <c r="D71" s="586"/>
      <c r="E71" s="586"/>
      <c r="F71" s="586"/>
      <c r="G71" s="586"/>
      <c r="H71" s="586"/>
      <c r="I71" s="586"/>
      <c r="J71" s="586"/>
      <c r="K71" s="586"/>
      <c r="L71" s="587"/>
      <c r="M71" s="168"/>
    </row>
    <row r="72" spans="1:16" x14ac:dyDescent="0.25">
      <c r="B72" s="170"/>
      <c r="C72" s="171"/>
      <c r="D72" s="171"/>
      <c r="E72" s="171"/>
      <c r="F72" s="171"/>
      <c r="G72" s="171"/>
      <c r="H72" s="171"/>
      <c r="I72" s="171"/>
      <c r="J72" s="171"/>
      <c r="K72" s="171"/>
      <c r="L72" s="172"/>
      <c r="M72" s="2"/>
    </row>
    <row r="73" spans="1:16" x14ac:dyDescent="0.25">
      <c r="B73" s="475" t="str">
        <f>IF(Intro!$G$21="English",O73,P73)</f>
        <v>Décrivez les plans de votre entreprise pour gérer le coût des matières au cours des deux prochaines années. Fournissez les motifs et les hypothèses sous-tendant ces objectifs et ces stratégies.</v>
      </c>
      <c r="C73" s="476"/>
      <c r="D73" s="476"/>
      <c r="E73" s="476"/>
      <c r="F73" s="476"/>
      <c r="G73" s="476"/>
      <c r="H73" s="476"/>
      <c r="I73" s="476"/>
      <c r="J73" s="476"/>
      <c r="K73" s="476"/>
      <c r="L73" s="477"/>
      <c r="M73" s="2"/>
      <c r="O73" s="2" t="s">
        <v>564</v>
      </c>
      <c r="P73" s="2" t="s">
        <v>257</v>
      </c>
    </row>
    <row r="74" spans="1:16" x14ac:dyDescent="0.25">
      <c r="B74" s="170"/>
      <c r="C74" s="171"/>
      <c r="D74" s="171"/>
      <c r="E74" s="171"/>
      <c r="F74" s="171"/>
      <c r="G74" s="171"/>
      <c r="H74" s="171"/>
      <c r="I74" s="171"/>
      <c r="J74" s="171"/>
      <c r="K74" s="171"/>
      <c r="L74" s="172"/>
      <c r="M74" s="2"/>
    </row>
    <row r="75" spans="1:16" s="3" customFormat="1" x14ac:dyDescent="0.25">
      <c r="A75" s="12"/>
      <c r="B75" s="582"/>
      <c r="C75" s="583"/>
      <c r="D75" s="583"/>
      <c r="E75" s="583"/>
      <c r="F75" s="583"/>
      <c r="G75" s="583"/>
      <c r="H75" s="583"/>
      <c r="I75" s="583"/>
      <c r="J75" s="583"/>
      <c r="K75" s="583"/>
      <c r="L75" s="584"/>
      <c r="M75" s="152"/>
      <c r="O75" s="154"/>
      <c r="P75" s="154"/>
    </row>
    <row r="76" spans="1:16" s="3" customFormat="1" x14ac:dyDescent="0.25">
      <c r="A76" s="12"/>
      <c r="B76" s="582"/>
      <c r="C76" s="583"/>
      <c r="D76" s="583"/>
      <c r="E76" s="583"/>
      <c r="F76" s="583"/>
      <c r="G76" s="583"/>
      <c r="H76" s="583"/>
      <c r="I76" s="583"/>
      <c r="J76" s="583"/>
      <c r="K76" s="583"/>
      <c r="L76" s="584"/>
      <c r="M76" s="152"/>
      <c r="O76" s="154"/>
      <c r="P76" s="154"/>
    </row>
    <row r="77" spans="1:16" s="3" customFormat="1" x14ac:dyDescent="0.25">
      <c r="A77" s="12"/>
      <c r="B77" s="582"/>
      <c r="C77" s="583"/>
      <c r="D77" s="583"/>
      <c r="E77" s="583"/>
      <c r="F77" s="583"/>
      <c r="G77" s="583"/>
      <c r="H77" s="583"/>
      <c r="I77" s="583"/>
      <c r="J77" s="583"/>
      <c r="K77" s="583"/>
      <c r="L77" s="584"/>
      <c r="M77" s="152"/>
      <c r="O77" s="154"/>
      <c r="P77" s="154"/>
    </row>
    <row r="78" spans="1:16" s="3" customFormat="1" x14ac:dyDescent="0.25">
      <c r="A78" s="12"/>
      <c r="B78" s="582"/>
      <c r="C78" s="583"/>
      <c r="D78" s="583"/>
      <c r="E78" s="583"/>
      <c r="F78" s="583"/>
      <c r="G78" s="583"/>
      <c r="H78" s="583"/>
      <c r="I78" s="583"/>
      <c r="J78" s="583"/>
      <c r="K78" s="583"/>
      <c r="L78" s="584"/>
      <c r="M78" s="152"/>
      <c r="O78" s="154"/>
      <c r="P78" s="154"/>
    </row>
    <row r="79" spans="1:16" s="3" customFormat="1" x14ac:dyDescent="0.25">
      <c r="A79" s="12"/>
      <c r="B79" s="582"/>
      <c r="C79" s="583"/>
      <c r="D79" s="583"/>
      <c r="E79" s="583"/>
      <c r="F79" s="583"/>
      <c r="G79" s="583"/>
      <c r="H79" s="583"/>
      <c r="I79" s="583"/>
      <c r="J79" s="583"/>
      <c r="K79" s="583"/>
      <c r="L79" s="584"/>
      <c r="M79" s="152"/>
      <c r="O79" s="154"/>
      <c r="P79" s="154"/>
    </row>
    <row r="80" spans="1:16" s="3" customFormat="1" x14ac:dyDescent="0.25">
      <c r="A80" s="12"/>
      <c r="B80" s="582"/>
      <c r="C80" s="583"/>
      <c r="D80" s="583"/>
      <c r="E80" s="583"/>
      <c r="F80" s="583"/>
      <c r="G80" s="583"/>
      <c r="H80" s="583"/>
      <c r="I80" s="583"/>
      <c r="J80" s="583"/>
      <c r="K80" s="583"/>
      <c r="L80" s="584"/>
      <c r="M80" s="152"/>
      <c r="O80" s="154"/>
      <c r="P80" s="154"/>
    </row>
    <row r="81" spans="1:16" s="3" customFormat="1" x14ac:dyDescent="0.25">
      <c r="A81" s="12"/>
      <c r="B81" s="582"/>
      <c r="C81" s="583"/>
      <c r="D81" s="583"/>
      <c r="E81" s="583"/>
      <c r="F81" s="583"/>
      <c r="G81" s="583"/>
      <c r="H81" s="583"/>
      <c r="I81" s="583"/>
      <c r="J81" s="583"/>
      <c r="K81" s="583"/>
      <c r="L81" s="584"/>
      <c r="M81" s="152"/>
      <c r="O81" s="154"/>
      <c r="P81" s="154"/>
    </row>
    <row r="82" spans="1:16" s="3" customFormat="1" x14ac:dyDescent="0.25">
      <c r="A82" s="12"/>
      <c r="B82" s="582"/>
      <c r="C82" s="583"/>
      <c r="D82" s="583"/>
      <c r="E82" s="583"/>
      <c r="F82" s="583"/>
      <c r="G82" s="583"/>
      <c r="H82" s="583"/>
      <c r="I82" s="583"/>
      <c r="J82" s="583"/>
      <c r="K82" s="583"/>
      <c r="L82" s="584"/>
      <c r="M82" s="152"/>
      <c r="O82" s="154"/>
      <c r="P82" s="154"/>
    </row>
    <row r="83" spans="1:16" x14ac:dyDescent="0.25">
      <c r="B83" s="176"/>
      <c r="C83" s="177"/>
      <c r="D83" s="177"/>
      <c r="E83" s="177"/>
      <c r="F83" s="177"/>
      <c r="G83" s="177"/>
      <c r="H83" s="177"/>
      <c r="I83" s="177"/>
      <c r="J83" s="177"/>
      <c r="K83" s="177"/>
      <c r="L83" s="178"/>
      <c r="M83" s="2"/>
    </row>
    <row r="84" spans="1:16" x14ac:dyDescent="0.25">
      <c r="B84" s="585" t="s">
        <v>26</v>
      </c>
      <c r="C84" s="586"/>
      <c r="D84" s="586"/>
      <c r="E84" s="586"/>
      <c r="F84" s="586"/>
      <c r="G84" s="586"/>
      <c r="H84" s="586"/>
      <c r="I84" s="586"/>
      <c r="J84" s="586"/>
      <c r="K84" s="586"/>
      <c r="L84" s="587"/>
      <c r="M84" s="2"/>
    </row>
    <row r="85" spans="1:16" x14ac:dyDescent="0.25">
      <c r="B85" s="24"/>
      <c r="C85" s="25"/>
      <c r="D85" s="25"/>
      <c r="E85" s="26"/>
      <c r="F85" s="26"/>
      <c r="G85" s="26"/>
      <c r="H85" s="26"/>
      <c r="I85" s="26"/>
      <c r="J85" s="26"/>
      <c r="K85" s="26"/>
      <c r="L85" s="27"/>
      <c r="M85" s="2"/>
    </row>
    <row r="86" spans="1:16" x14ac:dyDescent="0.25">
      <c r="B86" s="456" t="str">
        <f>IF(Intro!$G$21="English",O86,P86)</f>
        <v>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v>
      </c>
      <c r="C86" s="457"/>
      <c r="D86" s="457"/>
      <c r="E86" s="457"/>
      <c r="F86" s="457"/>
      <c r="G86" s="457"/>
      <c r="H86" s="457"/>
      <c r="I86" s="457"/>
      <c r="J86" s="457"/>
      <c r="K86" s="457"/>
      <c r="L86" s="458"/>
      <c r="M86" s="2"/>
      <c r="O86" s="11" t="s">
        <v>218</v>
      </c>
      <c r="P86" s="2" t="s">
        <v>428</v>
      </c>
    </row>
    <row r="87" spans="1:16" x14ac:dyDescent="0.25">
      <c r="B87" s="456"/>
      <c r="C87" s="457"/>
      <c r="D87" s="457"/>
      <c r="E87" s="457"/>
      <c r="F87" s="457"/>
      <c r="G87" s="457"/>
      <c r="H87" s="457"/>
      <c r="I87" s="457"/>
      <c r="J87" s="457"/>
      <c r="K87" s="457"/>
      <c r="L87" s="458"/>
      <c r="M87" s="2"/>
      <c r="O87" s="11"/>
    </row>
    <row r="88" spans="1:16" x14ac:dyDescent="0.25">
      <c r="B88" s="456" t="str">
        <f>IF(Intro!$G$21="English",O88,P88)</f>
        <v>Remarque - Les salaires directs payés pour les ventes intérieures et les ventes à l'exportation sont fournis par la réponse à la question 1 ci-dessus.</v>
      </c>
      <c r="C88" s="457"/>
      <c r="D88" s="457"/>
      <c r="E88" s="457"/>
      <c r="F88" s="457"/>
      <c r="G88" s="457"/>
      <c r="H88" s="457"/>
      <c r="I88" s="457"/>
      <c r="J88" s="457"/>
      <c r="K88" s="457"/>
      <c r="L88" s="458"/>
      <c r="M88" s="2"/>
      <c r="O88" s="11" t="s">
        <v>917</v>
      </c>
      <c r="P88" s="2" t="s">
        <v>918</v>
      </c>
    </row>
    <row r="89" spans="1:16" x14ac:dyDescent="0.25">
      <c r="B89" s="159"/>
      <c r="C89" s="160"/>
      <c r="D89" s="25"/>
      <c r="E89" s="26"/>
      <c r="F89" s="26"/>
      <c r="G89" s="26"/>
      <c r="H89" s="26"/>
      <c r="I89" s="26"/>
      <c r="J89" s="26"/>
      <c r="K89" s="26"/>
      <c r="L89" s="27"/>
      <c r="M89" s="2"/>
      <c r="O89" s="11"/>
    </row>
    <row r="90" spans="1:16" x14ac:dyDescent="0.25">
      <c r="B90" s="740" t="str">
        <f>IF(Intro!$G$21="English",O90,P90)</f>
        <v>Nombre d'employés</v>
      </c>
      <c r="C90" s="741"/>
      <c r="D90" s="741"/>
      <c r="E90" s="741"/>
      <c r="F90" s="742"/>
      <c r="G90" s="707">
        <f>Variables!$B$6</f>
        <v>2023</v>
      </c>
      <c r="H90" s="707">
        <f>G90+1</f>
        <v>2024</v>
      </c>
      <c r="I90" s="707">
        <f>H90+1</f>
        <v>2025</v>
      </c>
      <c r="J90" s="707" t="str">
        <f>J46</f>
        <v>janv- mars 2025</v>
      </c>
      <c r="K90" s="707" t="str">
        <f>K46</f>
        <v>janv- mars 2026</v>
      </c>
      <c r="L90" s="283"/>
      <c r="M90" s="2"/>
      <c r="O90" s="11" t="s">
        <v>423</v>
      </c>
      <c r="P90" s="11" t="s">
        <v>219</v>
      </c>
    </row>
    <row r="91" spans="1:16" x14ac:dyDescent="0.25">
      <c r="B91" s="743"/>
      <c r="C91" s="744"/>
      <c r="D91" s="744"/>
      <c r="E91" s="744"/>
      <c r="F91" s="745"/>
      <c r="G91" s="708"/>
      <c r="H91" s="708"/>
      <c r="I91" s="708"/>
      <c r="J91" s="708"/>
      <c r="K91" s="708"/>
      <c r="L91" s="283"/>
      <c r="M91" s="2"/>
      <c r="O91" s="11"/>
      <c r="P91" s="11"/>
    </row>
    <row r="92" spans="1:16" x14ac:dyDescent="0.25">
      <c r="B92" s="746" t="str">
        <f>IF(Intro!$G$21="English",O92,P92)</f>
        <v>Emploi direct</v>
      </c>
      <c r="C92" s="747"/>
      <c r="D92" s="747"/>
      <c r="E92" s="748"/>
      <c r="F92" s="214" t="s">
        <v>220</v>
      </c>
      <c r="G92" s="274"/>
      <c r="H92" s="274"/>
      <c r="I92" s="274"/>
      <c r="J92" s="274"/>
      <c r="K92" s="274"/>
      <c r="L92" s="283"/>
      <c r="M92" s="2"/>
      <c r="O92" s="2" t="s">
        <v>66</v>
      </c>
      <c r="P92" s="2" t="s">
        <v>67</v>
      </c>
    </row>
    <row r="93" spans="1:16" x14ac:dyDescent="0.25">
      <c r="B93" s="746" t="str">
        <f>IF(Intro!$G$21="English",O93,P93)</f>
        <v>Emploi indirect</v>
      </c>
      <c r="C93" s="747"/>
      <c r="D93" s="747"/>
      <c r="E93" s="748"/>
      <c r="F93" s="214" t="s">
        <v>220</v>
      </c>
      <c r="G93" s="274"/>
      <c r="H93" s="274"/>
      <c r="I93" s="274"/>
      <c r="J93" s="274"/>
      <c r="K93" s="274"/>
      <c r="L93" s="283"/>
      <c r="M93" s="2"/>
      <c r="O93" s="11" t="s">
        <v>68</v>
      </c>
      <c r="P93" s="2" t="s">
        <v>69</v>
      </c>
    </row>
    <row r="94" spans="1:16" s="3" customFormat="1" x14ac:dyDescent="0.25">
      <c r="A94" s="18"/>
      <c r="B94" s="764" t="str">
        <f>IF(Intro!$G$21="English",O94,P94)</f>
        <v>Total</v>
      </c>
      <c r="C94" s="765"/>
      <c r="D94" s="765"/>
      <c r="E94" s="766"/>
      <c r="F94" s="217" t="s">
        <v>220</v>
      </c>
      <c r="G94" s="282">
        <f>G92+G93</f>
        <v>0</v>
      </c>
      <c r="H94" s="282">
        <f t="shared" ref="H94:I94" si="5">H92+H93</f>
        <v>0</v>
      </c>
      <c r="I94" s="282">
        <f t="shared" si="5"/>
        <v>0</v>
      </c>
      <c r="J94" s="282">
        <f t="shared" ref="J94:K94" si="6">J92+J93</f>
        <v>0</v>
      </c>
      <c r="K94" s="282">
        <f t="shared" si="6"/>
        <v>0</v>
      </c>
      <c r="L94" s="241"/>
      <c r="O94" s="4" t="s">
        <v>45</v>
      </c>
      <c r="P94" s="4" t="s">
        <v>45</v>
      </c>
    </row>
    <row r="95" spans="1:16" x14ac:dyDescent="0.25">
      <c r="B95" s="159"/>
      <c r="C95" s="160"/>
      <c r="D95" s="2"/>
      <c r="E95" s="2"/>
      <c r="F95" s="148"/>
      <c r="G95" s="149"/>
      <c r="H95" s="149"/>
      <c r="I95" s="149"/>
      <c r="J95" s="149"/>
      <c r="K95" s="288"/>
      <c r="L95" s="283"/>
      <c r="M95" s="2"/>
      <c r="O95" s="11"/>
    </row>
    <row r="96" spans="1:16" x14ac:dyDescent="0.25">
      <c r="B96" s="740" t="str">
        <f>IF(Intro!$G$21="English",O96,P96)</f>
        <v>Nombre d'heures travaillées</v>
      </c>
      <c r="C96" s="741"/>
      <c r="D96" s="741"/>
      <c r="E96" s="741"/>
      <c r="F96" s="742"/>
      <c r="G96" s="707">
        <f>Variables!$B$6</f>
        <v>2023</v>
      </c>
      <c r="H96" s="707">
        <f>G96+1</f>
        <v>2024</v>
      </c>
      <c r="I96" s="707">
        <f>H96+1</f>
        <v>2025</v>
      </c>
      <c r="J96" s="707" t="str">
        <f>J90</f>
        <v>janv- mars 2025</v>
      </c>
      <c r="K96" s="707" t="str">
        <f>K90</f>
        <v>janv- mars 2026</v>
      </c>
      <c r="L96" s="283"/>
      <c r="M96" s="2"/>
      <c r="O96" s="11" t="s">
        <v>781</v>
      </c>
      <c r="P96" s="11" t="s">
        <v>221</v>
      </c>
    </row>
    <row r="97" spans="1:16" x14ac:dyDescent="0.25">
      <c r="B97" s="743"/>
      <c r="C97" s="744"/>
      <c r="D97" s="744"/>
      <c r="E97" s="744"/>
      <c r="F97" s="745"/>
      <c r="G97" s="708"/>
      <c r="H97" s="708"/>
      <c r="I97" s="708"/>
      <c r="J97" s="708"/>
      <c r="K97" s="708"/>
      <c r="L97" s="283"/>
      <c r="M97" s="2"/>
      <c r="O97" s="11"/>
      <c r="P97" s="11"/>
    </row>
    <row r="98" spans="1:16" x14ac:dyDescent="0.25">
      <c r="B98" s="746" t="str">
        <f>B92</f>
        <v>Emploi direct</v>
      </c>
      <c r="C98" s="747"/>
      <c r="D98" s="747"/>
      <c r="E98" s="748"/>
      <c r="F98" s="214" t="s">
        <v>220</v>
      </c>
      <c r="G98" s="274"/>
      <c r="H98" s="274"/>
      <c r="I98" s="274"/>
      <c r="J98" s="274"/>
      <c r="K98" s="274"/>
      <c r="L98" s="283"/>
      <c r="M98" s="2"/>
    </row>
    <row r="99" spans="1:16" x14ac:dyDescent="0.25">
      <c r="B99" s="746" t="str">
        <f>B93</f>
        <v>Emploi indirect</v>
      </c>
      <c r="C99" s="747"/>
      <c r="D99" s="747"/>
      <c r="E99" s="748"/>
      <c r="F99" s="214" t="s">
        <v>220</v>
      </c>
      <c r="G99" s="274"/>
      <c r="H99" s="274"/>
      <c r="I99" s="274"/>
      <c r="J99" s="274"/>
      <c r="K99" s="274"/>
      <c r="L99" s="283"/>
      <c r="M99" s="2"/>
      <c r="O99" s="11"/>
    </row>
    <row r="100" spans="1:16" s="3" customFormat="1" x14ac:dyDescent="0.25">
      <c r="A100" s="18"/>
      <c r="B100" s="764" t="str">
        <f>B94</f>
        <v>Total</v>
      </c>
      <c r="C100" s="765"/>
      <c r="D100" s="765"/>
      <c r="E100" s="766"/>
      <c r="F100" s="217" t="s">
        <v>220</v>
      </c>
      <c r="G100" s="282">
        <f>G98+G99</f>
        <v>0</v>
      </c>
      <c r="H100" s="282">
        <f t="shared" ref="H100" si="7">H98+H99</f>
        <v>0</v>
      </c>
      <c r="I100" s="282">
        <f t="shared" ref="I100:J100" si="8">I98+I99</f>
        <v>0</v>
      </c>
      <c r="J100" s="282">
        <f t="shared" si="8"/>
        <v>0</v>
      </c>
      <c r="K100" s="282">
        <f t="shared" ref="K100" si="9">K98+K99</f>
        <v>0</v>
      </c>
      <c r="L100" s="241"/>
      <c r="O100" s="4"/>
      <c r="P100" s="4"/>
    </row>
    <row r="101" spans="1:16" x14ac:dyDescent="0.25">
      <c r="B101" s="159"/>
      <c r="C101" s="160"/>
      <c r="D101" s="2"/>
      <c r="E101" s="2"/>
      <c r="F101" s="148"/>
      <c r="G101" s="149"/>
      <c r="H101" s="149"/>
      <c r="I101" s="149"/>
      <c r="J101" s="149"/>
      <c r="K101" s="288"/>
      <c r="L101" s="283"/>
      <c r="M101" s="2"/>
      <c r="O101" s="11"/>
    </row>
    <row r="102" spans="1:16" x14ac:dyDescent="0.25">
      <c r="B102" s="740" t="str">
        <f>IF(Intro!$G$21="English",O102,P102)</f>
        <v>Salaires payés</v>
      </c>
      <c r="C102" s="741"/>
      <c r="D102" s="741"/>
      <c r="E102" s="741"/>
      <c r="F102" s="742"/>
      <c r="G102" s="707">
        <f>Variables!$B$6</f>
        <v>2023</v>
      </c>
      <c r="H102" s="707">
        <f>G102+1</f>
        <v>2024</v>
      </c>
      <c r="I102" s="707">
        <f>H102+1</f>
        <v>2025</v>
      </c>
      <c r="J102" s="707" t="str">
        <f>J96</f>
        <v>janv- mars 2025</v>
      </c>
      <c r="K102" s="707" t="str">
        <f>K96</f>
        <v>janv- mars 2026</v>
      </c>
      <c r="L102" s="283"/>
      <c r="M102" s="2"/>
      <c r="O102" s="11" t="s">
        <v>424</v>
      </c>
      <c r="P102" s="11" t="s">
        <v>425</v>
      </c>
    </row>
    <row r="103" spans="1:16" x14ac:dyDescent="0.25">
      <c r="B103" s="743"/>
      <c r="C103" s="744"/>
      <c r="D103" s="744"/>
      <c r="E103" s="744"/>
      <c r="F103" s="745"/>
      <c r="G103" s="708"/>
      <c r="H103" s="708"/>
      <c r="I103" s="708"/>
      <c r="J103" s="708"/>
      <c r="K103" s="708"/>
      <c r="L103" s="283"/>
      <c r="M103" s="2"/>
      <c r="O103" s="11"/>
      <c r="P103" s="11"/>
    </row>
    <row r="104" spans="1:16" x14ac:dyDescent="0.25">
      <c r="B104" s="746" t="str">
        <f>IF(Intro!$G$21="English",O104,P104)</f>
        <v>Emploi direct - ventes nationales et ventes à l'exportation</v>
      </c>
      <c r="C104" s="747"/>
      <c r="D104" s="747"/>
      <c r="E104" s="748"/>
      <c r="F104" s="214" t="s">
        <v>563</v>
      </c>
      <c r="G104" s="275">
        <f>G30+G55</f>
        <v>0</v>
      </c>
      <c r="H104" s="275">
        <f>H30+H55</f>
        <v>0</v>
      </c>
      <c r="I104" s="275">
        <f>I30+I55</f>
        <v>0</v>
      </c>
      <c r="J104" s="275">
        <f>J30+J55</f>
        <v>0</v>
      </c>
      <c r="K104" s="275">
        <f>K30+K55</f>
        <v>0</v>
      </c>
      <c r="L104" s="283"/>
      <c r="M104" s="2"/>
      <c r="O104" s="2" t="s">
        <v>222</v>
      </c>
      <c r="P104" s="2" t="s">
        <v>223</v>
      </c>
    </row>
    <row r="105" spans="1:16" x14ac:dyDescent="0.25">
      <c r="B105" s="746" t="str">
        <f>IF(Intro!$G$21="English",O105,P105)</f>
        <v>Emploi direct - utilisées à l'interne ou destinées à la transformation ultérieure à l’interne</v>
      </c>
      <c r="C105" s="747"/>
      <c r="D105" s="747"/>
      <c r="E105" s="748"/>
      <c r="F105" s="214" t="s">
        <v>563</v>
      </c>
      <c r="G105" s="274"/>
      <c r="H105" s="274"/>
      <c r="I105" s="274"/>
      <c r="J105" s="274"/>
      <c r="K105" s="274"/>
      <c r="L105" s="283"/>
      <c r="M105" s="2"/>
      <c r="O105" s="2" t="s">
        <v>224</v>
      </c>
      <c r="P105" s="2" t="s">
        <v>225</v>
      </c>
    </row>
    <row r="106" spans="1:16" x14ac:dyDescent="0.25">
      <c r="B106" s="746" t="str">
        <f>B93</f>
        <v>Emploi indirect</v>
      </c>
      <c r="C106" s="747"/>
      <c r="D106" s="747"/>
      <c r="E106" s="748"/>
      <c r="F106" s="214" t="s">
        <v>563</v>
      </c>
      <c r="G106" s="274"/>
      <c r="H106" s="274"/>
      <c r="I106" s="274"/>
      <c r="J106" s="274"/>
      <c r="K106" s="274"/>
      <c r="L106" s="283"/>
      <c r="M106" s="2"/>
      <c r="O106" s="11"/>
    </row>
    <row r="107" spans="1:16" s="3" customFormat="1" x14ac:dyDescent="0.25">
      <c r="A107" s="18"/>
      <c r="B107" s="764" t="str">
        <f>B94</f>
        <v>Total</v>
      </c>
      <c r="C107" s="765"/>
      <c r="D107" s="765"/>
      <c r="E107" s="766"/>
      <c r="F107" s="214" t="s">
        <v>563</v>
      </c>
      <c r="G107" s="282">
        <f>G104+G105+G106</f>
        <v>0</v>
      </c>
      <c r="H107" s="282">
        <f t="shared" ref="H107:I107" si="10">H104+H105+H106</f>
        <v>0</v>
      </c>
      <c r="I107" s="282">
        <f t="shared" si="10"/>
        <v>0</v>
      </c>
      <c r="J107" s="282">
        <f t="shared" ref="J107:K107" si="11">J104+J105+J106</f>
        <v>0</v>
      </c>
      <c r="K107" s="282">
        <f t="shared" si="11"/>
        <v>0</v>
      </c>
      <c r="L107" s="241"/>
      <c r="O107" s="4"/>
      <c r="P107" s="4"/>
    </row>
    <row r="108" spans="1:16" x14ac:dyDescent="0.25">
      <c r="B108" s="170"/>
      <c r="C108" s="171"/>
      <c r="D108" s="171"/>
      <c r="E108" s="171"/>
      <c r="F108" s="171"/>
      <c r="G108" s="171"/>
      <c r="H108" s="171"/>
      <c r="I108" s="171"/>
      <c r="J108" s="171"/>
      <c r="K108" s="171"/>
      <c r="L108" s="172"/>
      <c r="M108" s="2"/>
    </row>
    <row r="109" spans="1:16" x14ac:dyDescent="0.25">
      <c r="B109" s="456" t="str">
        <f>IF(Intro!$G$21="English",O109,P109)</f>
        <v>Remarque - Les montants suivants sont basés sur les réponses fournies çi-dessus et à la question 1 dans l'onglet Pro 1. Si les montants sont incorrects, modifiez vos réponses aux questions précédentes.</v>
      </c>
      <c r="C109" s="457"/>
      <c r="D109" s="457"/>
      <c r="E109" s="457"/>
      <c r="F109" s="457"/>
      <c r="G109" s="457"/>
      <c r="H109" s="457"/>
      <c r="I109" s="457"/>
      <c r="J109" s="457"/>
      <c r="K109" s="457"/>
      <c r="L109" s="458"/>
      <c r="M109" s="2"/>
      <c r="O109" s="11" t="s">
        <v>721</v>
      </c>
      <c r="P109" s="2" t="s">
        <v>722</v>
      </c>
    </row>
    <row r="110" spans="1:16" x14ac:dyDescent="0.25">
      <c r="A110" s="41"/>
      <c r="B110" s="456"/>
      <c r="C110" s="457"/>
      <c r="D110" s="457"/>
      <c r="E110" s="457"/>
      <c r="F110" s="457"/>
      <c r="G110" s="457"/>
      <c r="H110" s="457"/>
      <c r="I110" s="457"/>
      <c r="J110" s="457"/>
      <c r="K110" s="457"/>
      <c r="L110" s="458"/>
      <c r="M110" s="2"/>
      <c r="O110" s="11"/>
    </row>
    <row r="111" spans="1:16" x14ac:dyDescent="0.25">
      <c r="B111" s="185"/>
      <c r="C111" s="174"/>
      <c r="D111" s="2"/>
      <c r="E111" s="2"/>
      <c r="F111" s="174"/>
      <c r="G111" s="707">
        <f>Variables!$B$6</f>
        <v>2023</v>
      </c>
      <c r="H111" s="707">
        <f>G111+1</f>
        <v>2024</v>
      </c>
      <c r="I111" s="707">
        <f>H111+1</f>
        <v>2025</v>
      </c>
      <c r="J111" s="707" t="str">
        <f>J102</f>
        <v>janv- mars 2025</v>
      </c>
      <c r="K111" s="663" t="str">
        <f>K102</f>
        <v>janv- mars 2026</v>
      </c>
      <c r="L111" s="283"/>
      <c r="M111" s="2"/>
      <c r="O111" s="11"/>
      <c r="P111" s="11"/>
    </row>
    <row r="112" spans="1:16" x14ac:dyDescent="0.25">
      <c r="B112" s="185"/>
      <c r="C112" s="174"/>
      <c r="D112" s="2"/>
      <c r="E112" s="2"/>
      <c r="F112" s="218"/>
      <c r="G112" s="708"/>
      <c r="H112" s="708"/>
      <c r="I112" s="708"/>
      <c r="J112" s="708"/>
      <c r="K112" s="663"/>
      <c r="L112" s="283"/>
      <c r="M112" s="2"/>
      <c r="O112" s="11"/>
      <c r="P112" s="11"/>
    </row>
    <row r="113" spans="1:16" x14ac:dyDescent="0.25">
      <c r="B113" s="746" t="str">
        <f>IF(Intro!$G$21="English",O113,P113)</f>
        <v>Volume de production par employé direct</v>
      </c>
      <c r="C113" s="747"/>
      <c r="D113" s="747"/>
      <c r="E113" s="748"/>
      <c r="F113" s="214" t="str">
        <f>Variables!B23</f>
        <v>tonnes</v>
      </c>
      <c r="G113" s="275">
        <f>IF(G92=0,0,'Pro 1'!G24/'Pro 3'!G92)</f>
        <v>0</v>
      </c>
      <c r="H113" s="275">
        <f>IF(H92=0,0,'Pro 1'!H24/'Pro 3'!H92)</f>
        <v>0</v>
      </c>
      <c r="I113" s="275">
        <f>IF(I92=0,0,'Pro 1'!I24/'Pro 3'!I92)</f>
        <v>0</v>
      </c>
      <c r="J113" s="275">
        <f>IF(J92=0,0,'Pro 1'!J24/'Pro 3'!J92)</f>
        <v>0</v>
      </c>
      <c r="K113" s="275">
        <f>IF(K92=0,0,'Pro 1'!K24/'Pro 3'!K92)</f>
        <v>0</v>
      </c>
      <c r="L113" s="283"/>
      <c r="M113" s="2"/>
      <c r="O113" s="2" t="s">
        <v>226</v>
      </c>
      <c r="P113" s="2" t="s">
        <v>227</v>
      </c>
    </row>
    <row r="114" spans="1:16" x14ac:dyDescent="0.25">
      <c r="B114" s="746" t="str">
        <f>IF(Intro!$G$21="English",O114,P114)</f>
        <v>Volume de production par heure d'emploi direct travaillée</v>
      </c>
      <c r="C114" s="747"/>
      <c r="D114" s="747"/>
      <c r="E114" s="748"/>
      <c r="F114" s="214" t="str">
        <f>Variables!B23</f>
        <v>tonnes</v>
      </c>
      <c r="G114" s="447">
        <f>IF(G98=0,0,'Pro 1'!G24/'Pro 3'!G98)</f>
        <v>0</v>
      </c>
      <c r="H114" s="447">
        <f>IF(H98=0,0,'Pro 1'!H24/'Pro 3'!H98)</f>
        <v>0</v>
      </c>
      <c r="I114" s="447">
        <f>IF(I98=0,0,'Pro 1'!I24/'Pro 3'!I98)</f>
        <v>0</v>
      </c>
      <c r="J114" s="447">
        <f>IF(J98=0,0,'Pro 1'!J24/'Pro 3'!J98)</f>
        <v>0</v>
      </c>
      <c r="K114" s="447">
        <f>IF(K98=0,0,'Pro 1'!K24/'Pro 3'!K98)</f>
        <v>0</v>
      </c>
      <c r="L114" s="283"/>
      <c r="M114" s="2"/>
      <c r="O114" s="11" t="s">
        <v>228</v>
      </c>
      <c r="P114" s="2" t="s">
        <v>711</v>
      </c>
    </row>
    <row r="115" spans="1:16" x14ac:dyDescent="0.25">
      <c r="B115" s="746" t="str">
        <f>IF(Intro!$G$21="English",O115,P115)</f>
        <v>Salaires totaux par employé direct</v>
      </c>
      <c r="C115" s="747"/>
      <c r="D115" s="747"/>
      <c r="E115" s="748"/>
      <c r="F115" s="214" t="s">
        <v>563</v>
      </c>
      <c r="G115" s="275">
        <f>IF(G92=0,0,(G105+G104)/G92)</f>
        <v>0</v>
      </c>
      <c r="H115" s="275">
        <f>IF(H92=0,0,(H105+H104)/H92)</f>
        <v>0</v>
      </c>
      <c r="I115" s="275">
        <f>IF(I92=0,0,(I105+I104)/I92)</f>
        <v>0</v>
      </c>
      <c r="J115" s="275">
        <f>IF(J92=0,0,(J105+J104)/J92)</f>
        <v>0</v>
      </c>
      <c r="K115" s="275">
        <f>IF(K92=0,0,(K105+K104)/K92)</f>
        <v>0</v>
      </c>
      <c r="L115" s="283"/>
      <c r="M115" s="2"/>
      <c r="O115" s="2" t="s">
        <v>229</v>
      </c>
      <c r="P115" s="2" t="s">
        <v>230</v>
      </c>
    </row>
    <row r="116" spans="1:16" x14ac:dyDescent="0.25">
      <c r="B116" s="746" t="str">
        <f>IF(Intro!$G$21="English",O116,P116)</f>
        <v>Salaires totaux par employé indirect</v>
      </c>
      <c r="C116" s="747"/>
      <c r="D116" s="747"/>
      <c r="E116" s="748"/>
      <c r="F116" s="214" t="s">
        <v>563</v>
      </c>
      <c r="G116" s="275">
        <f>IF(G93=0,0,G106/G93)</f>
        <v>0</v>
      </c>
      <c r="H116" s="275">
        <f>IF(H93=0,0,H106/H93)</f>
        <v>0</v>
      </c>
      <c r="I116" s="275">
        <f>IF(I93=0,0,I106/I93)</f>
        <v>0</v>
      </c>
      <c r="J116" s="275">
        <f>IF(J93=0,0,J106/J93)</f>
        <v>0</v>
      </c>
      <c r="K116" s="275">
        <f>IF(K93=0,0,K106/K93)</f>
        <v>0</v>
      </c>
      <c r="L116" s="283"/>
      <c r="M116" s="2"/>
      <c r="O116" s="2" t="s">
        <v>231</v>
      </c>
      <c r="P116" s="2" t="s">
        <v>232</v>
      </c>
    </row>
    <row r="117" spans="1:16" x14ac:dyDescent="0.25">
      <c r="B117" s="746" t="str">
        <f>IF(Intro!$G$21="English",O117,P117)</f>
        <v>Salaires horaires par employé direct</v>
      </c>
      <c r="C117" s="747"/>
      <c r="D117" s="747"/>
      <c r="E117" s="748"/>
      <c r="F117" s="214" t="s">
        <v>563</v>
      </c>
      <c r="G117" s="275">
        <f>IF(G98=0,0,(G104+G105)/G98)</f>
        <v>0</v>
      </c>
      <c r="H117" s="275">
        <f>IF(H98=0,0,(H104+H105)/H98)</f>
        <v>0</v>
      </c>
      <c r="I117" s="275">
        <f>IF(I98=0,0,(I104+I105)/I98)</f>
        <v>0</v>
      </c>
      <c r="J117" s="275">
        <f>IF(J98=0,0,(J104+J105)/J98)</f>
        <v>0</v>
      </c>
      <c r="K117" s="275">
        <f>IF(K98=0,0,(K104+K105)/K98)</f>
        <v>0</v>
      </c>
      <c r="L117" s="283"/>
      <c r="M117" s="2"/>
      <c r="O117" s="2" t="s">
        <v>233</v>
      </c>
      <c r="P117" s="2" t="s">
        <v>426</v>
      </c>
    </row>
    <row r="118" spans="1:16" x14ac:dyDescent="0.25">
      <c r="B118" s="746" t="str">
        <f>IF(Intro!$G$21="English",O118,P118)</f>
        <v>Salaires horaires par employé indirect</v>
      </c>
      <c r="C118" s="747"/>
      <c r="D118" s="747"/>
      <c r="E118" s="748"/>
      <c r="F118" s="214" t="s">
        <v>563</v>
      </c>
      <c r="G118" s="275">
        <f>IF(G99=0,0,G106/G99)</f>
        <v>0</v>
      </c>
      <c r="H118" s="275">
        <f>IF(H99=0,0,H106/H99)</f>
        <v>0</v>
      </c>
      <c r="I118" s="275">
        <f>IF(I99=0,0,I106/I99)</f>
        <v>0</v>
      </c>
      <c r="J118" s="275">
        <f>IF(J99=0,0,J106/J99)</f>
        <v>0</v>
      </c>
      <c r="K118" s="275">
        <f>IF(K99=0,0,K106/K99)</f>
        <v>0</v>
      </c>
      <c r="L118" s="283"/>
      <c r="M118" s="2"/>
      <c r="O118" s="2" t="s">
        <v>234</v>
      </c>
      <c r="P118" s="2" t="s">
        <v>427</v>
      </c>
    </row>
    <row r="119" spans="1:16" x14ac:dyDescent="0.25">
      <c r="B119" s="36"/>
      <c r="C119" s="143"/>
      <c r="D119" s="39"/>
      <c r="E119" s="32"/>
      <c r="F119" s="32"/>
      <c r="G119" s="32"/>
      <c r="H119" s="32"/>
      <c r="I119" s="32"/>
      <c r="J119" s="32"/>
      <c r="K119" s="32"/>
      <c r="L119" s="33"/>
      <c r="M119" s="2"/>
      <c r="O119" s="11"/>
    </row>
    <row r="120" spans="1:16" s="3" customFormat="1" x14ac:dyDescent="0.25">
      <c r="A120" s="12"/>
      <c r="B120" s="585" t="s">
        <v>27</v>
      </c>
      <c r="C120" s="586"/>
      <c r="D120" s="586"/>
      <c r="E120" s="586"/>
      <c r="F120" s="586"/>
      <c r="G120" s="586"/>
      <c r="H120" s="586"/>
      <c r="I120" s="586"/>
      <c r="J120" s="586"/>
      <c r="K120" s="586"/>
      <c r="L120" s="587"/>
      <c r="M120" s="168"/>
    </row>
    <row r="121" spans="1:16" x14ac:dyDescent="0.25">
      <c r="B121" s="170"/>
      <c r="C121" s="171"/>
      <c r="D121" s="171"/>
      <c r="E121" s="171"/>
      <c r="F121" s="171"/>
      <c r="G121" s="171"/>
      <c r="H121" s="171"/>
      <c r="I121" s="171"/>
      <c r="J121" s="171"/>
      <c r="K121" s="171"/>
      <c r="L121" s="172"/>
      <c r="M121" s="2"/>
    </row>
    <row r="122" spans="1:16" x14ac:dyDescent="0.25">
      <c r="B122" s="456" t="str">
        <f>IF(Intro!$G$21="English",O122,P122)</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c r="C122" s="457"/>
      <c r="D122" s="457"/>
      <c r="E122" s="457"/>
      <c r="F122" s="457"/>
      <c r="G122" s="457"/>
      <c r="H122" s="457"/>
      <c r="I122" s="457"/>
      <c r="J122" s="457"/>
      <c r="K122" s="457"/>
      <c r="L122" s="458"/>
      <c r="M122" s="2"/>
      <c r="O122" s="2" t="str">
        <f>"Identify any events, such as reduced hours of work, layoffs, strikes and other plant shutdowns/closures other than holidays, that have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25">
      <c r="B123" s="456"/>
      <c r="C123" s="457"/>
      <c r="D123" s="457"/>
      <c r="E123" s="457"/>
      <c r="F123" s="457"/>
      <c r="G123" s="457"/>
      <c r="H123" s="457"/>
      <c r="I123" s="457"/>
      <c r="J123" s="457"/>
      <c r="K123" s="457"/>
      <c r="L123" s="458"/>
      <c r="M123" s="2"/>
      <c r="O123" s="2" t="s">
        <v>677</v>
      </c>
      <c r="P123" s="11" t="s">
        <v>678</v>
      </c>
    </row>
    <row r="124" spans="1:16" x14ac:dyDescent="0.25">
      <c r="B124" s="170"/>
      <c r="C124" s="171"/>
      <c r="D124" s="171"/>
      <c r="E124" s="171"/>
      <c r="F124" s="171"/>
      <c r="G124" s="171"/>
      <c r="H124" s="171"/>
      <c r="I124" s="171"/>
      <c r="J124" s="171"/>
      <c r="K124" s="171"/>
      <c r="L124" s="172"/>
      <c r="M124" s="2"/>
      <c r="O124" s="2" t="s">
        <v>235</v>
      </c>
      <c r="P124" s="2" t="s">
        <v>236</v>
      </c>
    </row>
    <row r="125" spans="1:16" x14ac:dyDescent="0.25">
      <c r="B125" s="799" t="str">
        <f>IF(Intro!$G$21="English",O123,P123)</f>
        <v>Événement</v>
      </c>
      <c r="C125" s="707" t="str">
        <f>IF(Intro!$G$21="English",O124,P124)</f>
        <v>Année</v>
      </c>
      <c r="D125" s="707" t="str">
        <f>IF(Intro!$G$21="English",O125,P125)</f>
        <v xml:space="preserve">Durée  </v>
      </c>
      <c r="E125" s="663" t="str">
        <f>IF(Intro!$G$21="English",O126,P126)</f>
        <v>Nombre d'employés directs concernés</v>
      </c>
      <c r="F125" s="663"/>
      <c r="G125" s="663" t="str">
        <f>IF(Intro!$G$21="English",O127,P127)</f>
        <v>Raison</v>
      </c>
      <c r="H125" s="663"/>
      <c r="I125" s="663"/>
      <c r="J125" s="663"/>
      <c r="K125" s="663"/>
      <c r="L125" s="798"/>
      <c r="M125" s="2"/>
      <c r="O125" s="2" t="s">
        <v>237</v>
      </c>
      <c r="P125" s="2" t="s">
        <v>238</v>
      </c>
    </row>
    <row r="126" spans="1:16" x14ac:dyDescent="0.25">
      <c r="B126" s="800"/>
      <c r="C126" s="708"/>
      <c r="D126" s="708"/>
      <c r="E126" s="663"/>
      <c r="F126" s="663"/>
      <c r="G126" s="663"/>
      <c r="H126" s="663"/>
      <c r="I126" s="663"/>
      <c r="J126" s="663"/>
      <c r="K126" s="663"/>
      <c r="L126" s="798"/>
      <c r="M126" s="2"/>
      <c r="O126" s="2" t="s">
        <v>338</v>
      </c>
      <c r="P126" s="2" t="s">
        <v>339</v>
      </c>
    </row>
    <row r="127" spans="1:16" x14ac:dyDescent="0.25">
      <c r="B127" s="770" t="str">
        <f>IF(Intro!$G$21="English",O128,P128)</f>
        <v>Événement 1</v>
      </c>
      <c r="C127" s="499"/>
      <c r="D127" s="502"/>
      <c r="E127" s="502"/>
      <c r="F127" s="502"/>
      <c r="G127" s="502"/>
      <c r="H127" s="502"/>
      <c r="I127" s="502"/>
      <c r="J127" s="502"/>
      <c r="K127" s="502"/>
      <c r="L127" s="503"/>
      <c r="M127" s="2"/>
      <c r="O127" s="11" t="s">
        <v>239</v>
      </c>
      <c r="P127" s="11" t="s">
        <v>240</v>
      </c>
    </row>
    <row r="128" spans="1:16" x14ac:dyDescent="0.25">
      <c r="B128" s="770"/>
      <c r="C128" s="499"/>
      <c r="D128" s="502"/>
      <c r="E128" s="502"/>
      <c r="F128" s="502"/>
      <c r="G128" s="502"/>
      <c r="H128" s="502"/>
      <c r="I128" s="502"/>
      <c r="J128" s="502"/>
      <c r="K128" s="502"/>
      <c r="L128" s="503"/>
      <c r="M128" s="2"/>
      <c r="O128" s="11" t="s">
        <v>241</v>
      </c>
      <c r="P128" s="11" t="s">
        <v>242</v>
      </c>
    </row>
    <row r="129" spans="2:16" x14ac:dyDescent="0.25">
      <c r="B129" s="770"/>
      <c r="C129" s="499"/>
      <c r="D129" s="502"/>
      <c r="E129" s="502"/>
      <c r="F129" s="502"/>
      <c r="G129" s="502"/>
      <c r="H129" s="502"/>
      <c r="I129" s="502"/>
      <c r="J129" s="502"/>
      <c r="K129" s="502"/>
      <c r="L129" s="503"/>
      <c r="M129" s="2"/>
      <c r="O129" s="11"/>
      <c r="P129" s="11"/>
    </row>
    <row r="130" spans="2:16" x14ac:dyDescent="0.25">
      <c r="B130" s="770"/>
      <c r="C130" s="499"/>
      <c r="D130" s="502"/>
      <c r="E130" s="502"/>
      <c r="F130" s="502"/>
      <c r="G130" s="502"/>
      <c r="H130" s="502"/>
      <c r="I130" s="502"/>
      <c r="J130" s="502"/>
      <c r="K130" s="502"/>
      <c r="L130" s="503"/>
      <c r="M130" s="2"/>
      <c r="O130" s="11"/>
      <c r="P130" s="11"/>
    </row>
    <row r="131" spans="2:16" x14ac:dyDescent="0.25">
      <c r="B131" s="770"/>
      <c r="C131" s="499"/>
      <c r="D131" s="502"/>
      <c r="E131" s="502"/>
      <c r="F131" s="502"/>
      <c r="G131" s="502"/>
      <c r="H131" s="502"/>
      <c r="I131" s="502"/>
      <c r="J131" s="502"/>
      <c r="K131" s="502"/>
      <c r="L131" s="503"/>
      <c r="M131" s="2"/>
      <c r="O131" s="11"/>
      <c r="P131" s="11"/>
    </row>
    <row r="132" spans="2:16" x14ac:dyDescent="0.25">
      <c r="B132" s="770"/>
      <c r="C132" s="499"/>
      <c r="D132" s="502"/>
      <c r="E132" s="502"/>
      <c r="F132" s="502"/>
      <c r="G132" s="502"/>
      <c r="H132" s="502"/>
      <c r="I132" s="502"/>
      <c r="J132" s="502"/>
      <c r="K132" s="502"/>
      <c r="L132" s="503"/>
      <c r="M132" s="2"/>
      <c r="O132" s="11"/>
      <c r="P132" s="11"/>
    </row>
    <row r="133" spans="2:16" x14ac:dyDescent="0.25">
      <c r="B133" s="770"/>
      <c r="C133" s="499"/>
      <c r="D133" s="502"/>
      <c r="E133" s="502"/>
      <c r="F133" s="502"/>
      <c r="G133" s="502"/>
      <c r="H133" s="502"/>
      <c r="I133" s="502"/>
      <c r="J133" s="502"/>
      <c r="K133" s="502"/>
      <c r="L133" s="503"/>
      <c r="M133" s="2"/>
      <c r="O133" s="11"/>
      <c r="P133" s="11"/>
    </row>
    <row r="134" spans="2:16" x14ac:dyDescent="0.25">
      <c r="B134" s="770"/>
      <c r="C134" s="499"/>
      <c r="D134" s="502"/>
      <c r="E134" s="502"/>
      <c r="F134" s="502"/>
      <c r="G134" s="502"/>
      <c r="H134" s="502"/>
      <c r="I134" s="502"/>
      <c r="J134" s="502"/>
      <c r="K134" s="502"/>
      <c r="L134" s="503"/>
      <c r="M134" s="2"/>
      <c r="O134" s="11"/>
      <c r="P134" s="11"/>
    </row>
    <row r="135" spans="2:16" x14ac:dyDescent="0.25">
      <c r="B135" s="770"/>
      <c r="C135" s="499"/>
      <c r="D135" s="502"/>
      <c r="E135" s="502"/>
      <c r="F135" s="502"/>
      <c r="G135" s="502"/>
      <c r="H135" s="502"/>
      <c r="I135" s="502"/>
      <c r="J135" s="502"/>
      <c r="K135" s="502"/>
      <c r="L135" s="503"/>
      <c r="M135" s="2"/>
      <c r="O135" s="11"/>
      <c r="P135" s="11"/>
    </row>
    <row r="136" spans="2:16" x14ac:dyDescent="0.25">
      <c r="B136" s="770"/>
      <c r="C136" s="499"/>
      <c r="D136" s="502"/>
      <c r="E136" s="502"/>
      <c r="F136" s="502"/>
      <c r="G136" s="502"/>
      <c r="H136" s="502"/>
      <c r="I136" s="502"/>
      <c r="J136" s="502"/>
      <c r="K136" s="502"/>
      <c r="L136" s="503"/>
      <c r="M136" s="2"/>
      <c r="O136" s="11"/>
      <c r="P136" s="11"/>
    </row>
    <row r="137" spans="2:16" x14ac:dyDescent="0.25">
      <c r="B137" s="770" t="str">
        <f>IF(Intro!$G$21="English",O137,P137)</f>
        <v>Événement 2</v>
      </c>
      <c r="C137" s="499"/>
      <c r="D137" s="502"/>
      <c r="E137" s="502"/>
      <c r="F137" s="502"/>
      <c r="G137" s="502"/>
      <c r="H137" s="502"/>
      <c r="I137" s="502"/>
      <c r="J137" s="502"/>
      <c r="K137" s="502"/>
      <c r="L137" s="503"/>
      <c r="M137" s="2"/>
      <c r="O137" s="11" t="s">
        <v>243</v>
      </c>
      <c r="P137" s="11" t="s">
        <v>244</v>
      </c>
    </row>
    <row r="138" spans="2:16" x14ac:dyDescent="0.25">
      <c r="B138" s="770"/>
      <c r="C138" s="499"/>
      <c r="D138" s="502"/>
      <c r="E138" s="502"/>
      <c r="F138" s="502"/>
      <c r="G138" s="502"/>
      <c r="H138" s="502"/>
      <c r="I138" s="502"/>
      <c r="J138" s="502"/>
      <c r="K138" s="502"/>
      <c r="L138" s="503"/>
      <c r="M138" s="2"/>
    </row>
    <row r="139" spans="2:16" x14ac:dyDescent="0.25">
      <c r="B139" s="770"/>
      <c r="C139" s="499"/>
      <c r="D139" s="502"/>
      <c r="E139" s="502"/>
      <c r="F139" s="502"/>
      <c r="G139" s="502"/>
      <c r="H139" s="502"/>
      <c r="I139" s="502"/>
      <c r="J139" s="502"/>
      <c r="K139" s="502"/>
      <c r="L139" s="503"/>
      <c r="M139" s="2"/>
    </row>
    <row r="140" spans="2:16" x14ac:dyDescent="0.25">
      <c r="B140" s="770"/>
      <c r="C140" s="499"/>
      <c r="D140" s="502"/>
      <c r="E140" s="502"/>
      <c r="F140" s="502"/>
      <c r="G140" s="502"/>
      <c r="H140" s="502"/>
      <c r="I140" s="502"/>
      <c r="J140" s="502"/>
      <c r="K140" s="502"/>
      <c r="L140" s="503"/>
      <c r="M140" s="2"/>
      <c r="O140" s="11"/>
      <c r="P140" s="11"/>
    </row>
    <row r="141" spans="2:16" x14ac:dyDescent="0.25">
      <c r="B141" s="770"/>
      <c r="C141" s="499"/>
      <c r="D141" s="502"/>
      <c r="E141" s="502"/>
      <c r="F141" s="502"/>
      <c r="G141" s="502"/>
      <c r="H141" s="502"/>
      <c r="I141" s="502"/>
      <c r="J141" s="502"/>
      <c r="K141" s="502"/>
      <c r="L141" s="503"/>
      <c r="M141" s="2"/>
      <c r="O141" s="11"/>
      <c r="P141" s="11"/>
    </row>
    <row r="142" spans="2:16" x14ac:dyDescent="0.25">
      <c r="B142" s="770"/>
      <c r="C142" s="499"/>
      <c r="D142" s="502"/>
      <c r="E142" s="502"/>
      <c r="F142" s="502"/>
      <c r="G142" s="502"/>
      <c r="H142" s="502"/>
      <c r="I142" s="502"/>
      <c r="J142" s="502"/>
      <c r="K142" s="502"/>
      <c r="L142" s="503"/>
      <c r="M142" s="2"/>
      <c r="O142" s="11"/>
      <c r="P142" s="11"/>
    </row>
    <row r="143" spans="2:16" x14ac:dyDescent="0.25">
      <c r="B143" s="770"/>
      <c r="C143" s="499"/>
      <c r="D143" s="502"/>
      <c r="E143" s="502"/>
      <c r="F143" s="502"/>
      <c r="G143" s="502"/>
      <c r="H143" s="502"/>
      <c r="I143" s="502"/>
      <c r="J143" s="502"/>
      <c r="K143" s="502"/>
      <c r="L143" s="503"/>
      <c r="M143" s="2"/>
      <c r="O143" s="11"/>
      <c r="P143" s="11"/>
    </row>
    <row r="144" spans="2:16" x14ac:dyDescent="0.25">
      <c r="B144" s="770"/>
      <c r="C144" s="499"/>
      <c r="D144" s="502"/>
      <c r="E144" s="502"/>
      <c r="F144" s="502"/>
      <c r="G144" s="502"/>
      <c r="H144" s="502"/>
      <c r="I144" s="502"/>
      <c r="J144" s="502"/>
      <c r="K144" s="502"/>
      <c r="L144" s="503"/>
      <c r="M144" s="2"/>
      <c r="O144" s="11"/>
      <c r="P144" s="11"/>
    </row>
    <row r="145" spans="2:16" x14ac:dyDescent="0.25">
      <c r="B145" s="770"/>
      <c r="C145" s="499"/>
      <c r="D145" s="502"/>
      <c r="E145" s="502"/>
      <c r="F145" s="502"/>
      <c r="G145" s="502"/>
      <c r="H145" s="502"/>
      <c r="I145" s="502"/>
      <c r="J145" s="502"/>
      <c r="K145" s="502"/>
      <c r="L145" s="503"/>
      <c r="M145" s="2"/>
      <c r="O145" s="11"/>
      <c r="P145" s="11"/>
    </row>
    <row r="146" spans="2:16" x14ac:dyDescent="0.25">
      <c r="B146" s="770"/>
      <c r="C146" s="499"/>
      <c r="D146" s="502"/>
      <c r="E146" s="502"/>
      <c r="F146" s="502"/>
      <c r="G146" s="502"/>
      <c r="H146" s="502"/>
      <c r="I146" s="502"/>
      <c r="J146" s="502"/>
      <c r="K146" s="502"/>
      <c r="L146" s="503"/>
      <c r="M146" s="2"/>
      <c r="O146" s="11"/>
      <c r="P146" s="11"/>
    </row>
    <row r="147" spans="2:16" x14ac:dyDescent="0.25">
      <c r="B147" s="770" t="str">
        <f>IF(Intro!$G$21="English",O147,P147)</f>
        <v>Événement 3</v>
      </c>
      <c r="C147" s="499"/>
      <c r="D147" s="502"/>
      <c r="E147" s="502"/>
      <c r="F147" s="502"/>
      <c r="G147" s="502"/>
      <c r="H147" s="502"/>
      <c r="I147" s="502"/>
      <c r="J147" s="502"/>
      <c r="K147" s="502"/>
      <c r="L147" s="503"/>
      <c r="M147" s="2"/>
      <c r="O147" s="11" t="s">
        <v>245</v>
      </c>
      <c r="P147" s="11" t="s">
        <v>246</v>
      </c>
    </row>
    <row r="148" spans="2:16" x14ac:dyDescent="0.25">
      <c r="B148" s="770"/>
      <c r="C148" s="499"/>
      <c r="D148" s="502"/>
      <c r="E148" s="502"/>
      <c r="F148" s="502"/>
      <c r="G148" s="502"/>
      <c r="H148" s="502"/>
      <c r="I148" s="502"/>
      <c r="J148" s="502"/>
      <c r="K148" s="502"/>
      <c r="L148" s="503"/>
      <c r="M148" s="2"/>
    </row>
    <row r="149" spans="2:16" x14ac:dyDescent="0.25">
      <c r="B149" s="770"/>
      <c r="C149" s="499"/>
      <c r="D149" s="502"/>
      <c r="E149" s="502"/>
      <c r="F149" s="502"/>
      <c r="G149" s="502"/>
      <c r="H149" s="502"/>
      <c r="I149" s="502"/>
      <c r="J149" s="502"/>
      <c r="K149" s="502"/>
      <c r="L149" s="503"/>
      <c r="M149" s="2"/>
      <c r="O149" s="11"/>
      <c r="P149" s="11"/>
    </row>
    <row r="150" spans="2:16" x14ac:dyDescent="0.25">
      <c r="B150" s="770"/>
      <c r="C150" s="499"/>
      <c r="D150" s="502"/>
      <c r="E150" s="502"/>
      <c r="F150" s="502"/>
      <c r="G150" s="502"/>
      <c r="H150" s="502"/>
      <c r="I150" s="502"/>
      <c r="J150" s="502"/>
      <c r="K150" s="502"/>
      <c r="L150" s="503"/>
      <c r="M150" s="2"/>
      <c r="O150" s="11"/>
      <c r="P150" s="11"/>
    </row>
    <row r="151" spans="2:16" x14ac:dyDescent="0.25">
      <c r="B151" s="770"/>
      <c r="C151" s="499"/>
      <c r="D151" s="502"/>
      <c r="E151" s="502"/>
      <c r="F151" s="502"/>
      <c r="G151" s="502"/>
      <c r="H151" s="502"/>
      <c r="I151" s="502"/>
      <c r="J151" s="502"/>
      <c r="K151" s="502"/>
      <c r="L151" s="503"/>
      <c r="M151" s="2"/>
      <c r="O151" s="11"/>
      <c r="P151" s="11"/>
    </row>
    <row r="152" spans="2:16" x14ac:dyDescent="0.25">
      <c r="B152" s="770"/>
      <c r="C152" s="499"/>
      <c r="D152" s="502"/>
      <c r="E152" s="502"/>
      <c r="F152" s="502"/>
      <c r="G152" s="502"/>
      <c r="H152" s="502"/>
      <c r="I152" s="502"/>
      <c r="J152" s="502"/>
      <c r="K152" s="502"/>
      <c r="L152" s="503"/>
      <c r="M152" s="2"/>
      <c r="O152" s="11"/>
      <c r="P152" s="11"/>
    </row>
    <row r="153" spans="2:16" x14ac:dyDescent="0.25">
      <c r="B153" s="770"/>
      <c r="C153" s="499"/>
      <c r="D153" s="502"/>
      <c r="E153" s="502"/>
      <c r="F153" s="502"/>
      <c r="G153" s="502"/>
      <c r="H153" s="502"/>
      <c r="I153" s="502"/>
      <c r="J153" s="502"/>
      <c r="K153" s="502"/>
      <c r="L153" s="503"/>
      <c r="M153" s="2"/>
      <c r="O153" s="11"/>
      <c r="P153" s="11"/>
    </row>
    <row r="154" spans="2:16" x14ac:dyDescent="0.25">
      <c r="B154" s="770"/>
      <c r="C154" s="499"/>
      <c r="D154" s="502"/>
      <c r="E154" s="502"/>
      <c r="F154" s="502"/>
      <c r="G154" s="502"/>
      <c r="H154" s="502"/>
      <c r="I154" s="502"/>
      <c r="J154" s="502"/>
      <c r="K154" s="502"/>
      <c r="L154" s="503"/>
      <c r="M154" s="2"/>
      <c r="O154" s="11"/>
      <c r="P154" s="11"/>
    </row>
    <row r="155" spans="2:16" x14ac:dyDescent="0.25">
      <c r="B155" s="770"/>
      <c r="C155" s="499"/>
      <c r="D155" s="502"/>
      <c r="E155" s="502"/>
      <c r="F155" s="502"/>
      <c r="G155" s="502"/>
      <c r="H155" s="502"/>
      <c r="I155" s="502"/>
      <c r="J155" s="502"/>
      <c r="K155" s="502"/>
      <c r="L155" s="503"/>
      <c r="M155" s="2"/>
      <c r="O155" s="11"/>
      <c r="P155" s="11"/>
    </row>
    <row r="156" spans="2:16" x14ac:dyDescent="0.25">
      <c r="B156" s="770"/>
      <c r="C156" s="499"/>
      <c r="D156" s="502"/>
      <c r="E156" s="502"/>
      <c r="F156" s="502"/>
      <c r="G156" s="502"/>
      <c r="H156" s="502"/>
      <c r="I156" s="502"/>
      <c r="J156" s="502"/>
      <c r="K156" s="502"/>
      <c r="L156" s="503"/>
      <c r="M156" s="2"/>
      <c r="O156" s="11"/>
      <c r="P156" s="11"/>
    </row>
    <row r="157" spans="2:16" x14ac:dyDescent="0.25">
      <c r="B157" s="770" t="str">
        <f>IF(Intro!$G$21="English",O157,P157)</f>
        <v>Événement 4</v>
      </c>
      <c r="C157" s="499"/>
      <c r="D157" s="502"/>
      <c r="E157" s="502"/>
      <c r="F157" s="502"/>
      <c r="G157" s="502"/>
      <c r="H157" s="502"/>
      <c r="I157" s="502"/>
      <c r="J157" s="502"/>
      <c r="K157" s="502"/>
      <c r="L157" s="503"/>
      <c r="M157" s="2"/>
      <c r="O157" s="11" t="s">
        <v>247</v>
      </c>
      <c r="P157" s="11" t="s">
        <v>248</v>
      </c>
    </row>
    <row r="158" spans="2:16" x14ac:dyDescent="0.25">
      <c r="B158" s="770"/>
      <c r="C158" s="499"/>
      <c r="D158" s="502"/>
      <c r="E158" s="502"/>
      <c r="F158" s="502"/>
      <c r="G158" s="502"/>
      <c r="H158" s="502"/>
      <c r="I158" s="502"/>
      <c r="J158" s="502"/>
      <c r="K158" s="502"/>
      <c r="L158" s="503"/>
      <c r="M158" s="2"/>
    </row>
    <row r="159" spans="2:16" x14ac:dyDescent="0.25">
      <c r="B159" s="770"/>
      <c r="C159" s="499"/>
      <c r="D159" s="502"/>
      <c r="E159" s="502"/>
      <c r="F159" s="502"/>
      <c r="G159" s="502"/>
      <c r="H159" s="502"/>
      <c r="I159" s="502"/>
      <c r="J159" s="502"/>
      <c r="K159" s="502"/>
      <c r="L159" s="503"/>
      <c r="M159" s="2"/>
      <c r="O159" s="11"/>
      <c r="P159" s="11"/>
    </row>
    <row r="160" spans="2:16" x14ac:dyDescent="0.25">
      <c r="B160" s="770"/>
      <c r="C160" s="499"/>
      <c r="D160" s="502"/>
      <c r="E160" s="502"/>
      <c r="F160" s="502"/>
      <c r="G160" s="502"/>
      <c r="H160" s="502"/>
      <c r="I160" s="502"/>
      <c r="J160" s="502"/>
      <c r="K160" s="502"/>
      <c r="L160" s="503"/>
      <c r="M160" s="2"/>
      <c r="O160" s="11"/>
      <c r="P160" s="11"/>
    </row>
    <row r="161" spans="2:16" x14ac:dyDescent="0.25">
      <c r="B161" s="770"/>
      <c r="C161" s="499"/>
      <c r="D161" s="502"/>
      <c r="E161" s="502"/>
      <c r="F161" s="502"/>
      <c r="G161" s="502"/>
      <c r="H161" s="502"/>
      <c r="I161" s="502"/>
      <c r="J161" s="502"/>
      <c r="K161" s="502"/>
      <c r="L161" s="503"/>
      <c r="M161" s="2"/>
      <c r="O161" s="11"/>
      <c r="P161" s="11"/>
    </row>
    <row r="162" spans="2:16" x14ac:dyDescent="0.25">
      <c r="B162" s="770"/>
      <c r="C162" s="499"/>
      <c r="D162" s="502"/>
      <c r="E162" s="502"/>
      <c r="F162" s="502"/>
      <c r="G162" s="502"/>
      <c r="H162" s="502"/>
      <c r="I162" s="502"/>
      <c r="J162" s="502"/>
      <c r="K162" s="502"/>
      <c r="L162" s="503"/>
      <c r="M162" s="2"/>
      <c r="O162" s="11"/>
      <c r="P162" s="11"/>
    </row>
    <row r="163" spans="2:16" x14ac:dyDescent="0.25">
      <c r="B163" s="770"/>
      <c r="C163" s="499"/>
      <c r="D163" s="502"/>
      <c r="E163" s="502"/>
      <c r="F163" s="502"/>
      <c r="G163" s="502"/>
      <c r="H163" s="502"/>
      <c r="I163" s="502"/>
      <c r="J163" s="502"/>
      <c r="K163" s="502"/>
      <c r="L163" s="503"/>
      <c r="M163" s="2"/>
      <c r="O163" s="11"/>
      <c r="P163" s="11"/>
    </row>
    <row r="164" spans="2:16" x14ac:dyDescent="0.25">
      <c r="B164" s="770"/>
      <c r="C164" s="499"/>
      <c r="D164" s="502"/>
      <c r="E164" s="502"/>
      <c r="F164" s="502"/>
      <c r="G164" s="502"/>
      <c r="H164" s="502"/>
      <c r="I164" s="502"/>
      <c r="J164" s="502"/>
      <c r="K164" s="502"/>
      <c r="L164" s="503"/>
      <c r="M164" s="2"/>
      <c r="O164" s="11"/>
      <c r="P164" s="11"/>
    </row>
    <row r="165" spans="2:16" x14ac:dyDescent="0.25">
      <c r="B165" s="770"/>
      <c r="C165" s="499"/>
      <c r="D165" s="502"/>
      <c r="E165" s="502"/>
      <c r="F165" s="502"/>
      <c r="G165" s="502"/>
      <c r="H165" s="502"/>
      <c r="I165" s="502"/>
      <c r="J165" s="502"/>
      <c r="K165" s="502"/>
      <c r="L165" s="503"/>
      <c r="M165" s="2"/>
      <c r="O165" s="11"/>
      <c r="P165" s="11"/>
    </row>
    <row r="166" spans="2:16" x14ac:dyDescent="0.25">
      <c r="B166" s="770"/>
      <c r="C166" s="499"/>
      <c r="D166" s="502"/>
      <c r="E166" s="502"/>
      <c r="F166" s="502"/>
      <c r="G166" s="502"/>
      <c r="H166" s="502"/>
      <c r="I166" s="502"/>
      <c r="J166" s="502"/>
      <c r="K166" s="502"/>
      <c r="L166" s="503"/>
      <c r="M166" s="2"/>
      <c r="O166" s="11"/>
      <c r="P166" s="11"/>
    </row>
    <row r="167" spans="2:16" x14ac:dyDescent="0.25">
      <c r="B167" s="770" t="str">
        <f>IF(Intro!$G$21="English",O167,P167)</f>
        <v>Événement 5</v>
      </c>
      <c r="C167" s="499"/>
      <c r="D167" s="502"/>
      <c r="E167" s="502"/>
      <c r="F167" s="502"/>
      <c r="G167" s="502"/>
      <c r="H167" s="502"/>
      <c r="I167" s="502"/>
      <c r="J167" s="502"/>
      <c r="K167" s="502"/>
      <c r="L167" s="503"/>
      <c r="M167" s="2"/>
      <c r="O167" s="11" t="s">
        <v>249</v>
      </c>
      <c r="P167" s="11" t="s">
        <v>250</v>
      </c>
    </row>
    <row r="168" spans="2:16" x14ac:dyDescent="0.25">
      <c r="B168" s="770"/>
      <c r="C168" s="499"/>
      <c r="D168" s="502"/>
      <c r="E168" s="502"/>
      <c r="F168" s="502"/>
      <c r="G168" s="502"/>
      <c r="H168" s="502"/>
      <c r="I168" s="502"/>
      <c r="J168" s="502"/>
      <c r="K168" s="502"/>
      <c r="L168" s="503"/>
      <c r="M168" s="2"/>
      <c r="O168" s="11"/>
      <c r="P168" s="11"/>
    </row>
    <row r="169" spans="2:16" x14ac:dyDescent="0.25">
      <c r="B169" s="770"/>
      <c r="C169" s="499"/>
      <c r="D169" s="502"/>
      <c r="E169" s="502"/>
      <c r="F169" s="502"/>
      <c r="G169" s="502"/>
      <c r="H169" s="502"/>
      <c r="I169" s="502"/>
      <c r="J169" s="502"/>
      <c r="K169" s="502"/>
      <c r="L169" s="503"/>
      <c r="M169" s="2"/>
      <c r="O169" s="11"/>
      <c r="P169" s="11"/>
    </row>
    <row r="170" spans="2:16" x14ac:dyDescent="0.25">
      <c r="B170" s="770"/>
      <c r="C170" s="499"/>
      <c r="D170" s="502"/>
      <c r="E170" s="502"/>
      <c r="F170" s="502"/>
      <c r="G170" s="502"/>
      <c r="H170" s="502"/>
      <c r="I170" s="502"/>
      <c r="J170" s="502"/>
      <c r="K170" s="502"/>
      <c r="L170" s="503"/>
      <c r="M170" s="2"/>
      <c r="O170" s="11"/>
      <c r="P170" s="11"/>
    </row>
    <row r="171" spans="2:16" x14ac:dyDescent="0.25">
      <c r="B171" s="770"/>
      <c r="C171" s="499"/>
      <c r="D171" s="502"/>
      <c r="E171" s="502"/>
      <c r="F171" s="502"/>
      <c r="G171" s="502"/>
      <c r="H171" s="502"/>
      <c r="I171" s="502"/>
      <c r="J171" s="502"/>
      <c r="K171" s="502"/>
      <c r="L171" s="503"/>
      <c r="M171" s="2"/>
      <c r="O171" s="11"/>
      <c r="P171" s="11"/>
    </row>
    <row r="172" spans="2:16" x14ac:dyDescent="0.25">
      <c r="B172" s="770"/>
      <c r="C172" s="499"/>
      <c r="D172" s="502"/>
      <c r="E172" s="502"/>
      <c r="F172" s="502"/>
      <c r="G172" s="502"/>
      <c r="H172" s="502"/>
      <c r="I172" s="502"/>
      <c r="J172" s="502"/>
      <c r="K172" s="502"/>
      <c r="L172" s="503"/>
      <c r="M172" s="2"/>
      <c r="O172" s="11"/>
      <c r="P172" s="11"/>
    </row>
    <row r="173" spans="2:16" x14ac:dyDescent="0.25">
      <c r="B173" s="770"/>
      <c r="C173" s="499"/>
      <c r="D173" s="502"/>
      <c r="E173" s="502"/>
      <c r="F173" s="502"/>
      <c r="G173" s="502"/>
      <c r="H173" s="502"/>
      <c r="I173" s="502"/>
      <c r="J173" s="502"/>
      <c r="K173" s="502"/>
      <c r="L173" s="503"/>
      <c r="M173" s="2"/>
      <c r="O173" s="11"/>
      <c r="P173" s="11"/>
    </row>
    <row r="174" spans="2:16" x14ac:dyDescent="0.25">
      <c r="B174" s="770"/>
      <c r="C174" s="499"/>
      <c r="D174" s="502"/>
      <c r="E174" s="502"/>
      <c r="F174" s="502"/>
      <c r="G174" s="502"/>
      <c r="H174" s="502"/>
      <c r="I174" s="502"/>
      <c r="J174" s="502"/>
      <c r="K174" s="502"/>
      <c r="L174" s="503"/>
      <c r="M174" s="2"/>
      <c r="O174" s="11"/>
      <c r="P174" s="11"/>
    </row>
    <row r="175" spans="2:16" x14ac:dyDescent="0.25">
      <c r="B175" s="770"/>
      <c r="C175" s="499"/>
      <c r="D175" s="502"/>
      <c r="E175" s="502"/>
      <c r="F175" s="502"/>
      <c r="G175" s="502"/>
      <c r="H175" s="502"/>
      <c r="I175" s="502"/>
      <c r="J175" s="502"/>
      <c r="K175" s="502"/>
      <c r="L175" s="503"/>
      <c r="M175" s="2"/>
      <c r="O175" s="11"/>
      <c r="P175" s="11"/>
    </row>
    <row r="176" spans="2:16" x14ac:dyDescent="0.25">
      <c r="B176" s="770"/>
      <c r="C176" s="499"/>
      <c r="D176" s="502"/>
      <c r="E176" s="502"/>
      <c r="F176" s="502"/>
      <c r="G176" s="502"/>
      <c r="H176" s="502"/>
      <c r="I176" s="502"/>
      <c r="J176" s="502"/>
      <c r="K176" s="502"/>
      <c r="L176" s="503"/>
      <c r="M176" s="2"/>
      <c r="O176" s="11"/>
      <c r="P176" s="11"/>
    </row>
    <row r="177" spans="1:16" x14ac:dyDescent="0.25">
      <c r="B177" s="36"/>
      <c r="C177" s="143"/>
      <c r="D177" s="39"/>
      <c r="E177" s="32"/>
      <c r="F177" s="32"/>
      <c r="G177" s="32"/>
      <c r="H177" s="32"/>
      <c r="I177" s="32"/>
      <c r="J177" s="32"/>
      <c r="K177" s="32"/>
      <c r="L177" s="33"/>
      <c r="M177" s="2"/>
      <c r="O177" s="11"/>
    </row>
    <row r="178" spans="1:16" x14ac:dyDescent="0.25">
      <c r="B178" s="144"/>
      <c r="C178" s="144"/>
      <c r="D178" s="34"/>
      <c r="E178" s="35"/>
      <c r="F178" s="35"/>
      <c r="G178" s="35"/>
      <c r="H178" s="35"/>
      <c r="I178" s="35"/>
      <c r="J178" s="35"/>
      <c r="K178" s="35"/>
      <c r="L178" s="35"/>
      <c r="M178" s="2"/>
      <c r="O178" s="11"/>
    </row>
    <row r="179" spans="1:16" x14ac:dyDescent="0.25">
      <c r="B179" s="453" t="str">
        <f>IF(Intro!$G$21="English",O179,P179)</f>
        <v>ÉTAT DES RÉSULTATS  - POUR LES MARCHANDISES SEULEMENT</v>
      </c>
      <c r="C179" s="454"/>
      <c r="D179" s="454"/>
      <c r="E179" s="454"/>
      <c r="F179" s="454"/>
      <c r="G179" s="454"/>
      <c r="H179" s="454"/>
      <c r="I179" s="454"/>
      <c r="J179" s="454"/>
      <c r="K179" s="454"/>
      <c r="L179" s="455"/>
      <c r="M179" s="2"/>
      <c r="O179" s="2" t="s">
        <v>845</v>
      </c>
      <c r="P179" s="2" t="s">
        <v>850</v>
      </c>
    </row>
    <row r="180" spans="1:16" s="3" customFormat="1" x14ac:dyDescent="0.25">
      <c r="A180" s="12"/>
      <c r="B180" s="585" t="s">
        <v>28</v>
      </c>
      <c r="C180" s="586"/>
      <c r="D180" s="586"/>
      <c r="E180" s="586"/>
      <c r="F180" s="586"/>
      <c r="G180" s="586"/>
      <c r="H180" s="586"/>
      <c r="I180" s="586"/>
      <c r="J180" s="586"/>
      <c r="K180" s="586"/>
      <c r="L180" s="587"/>
      <c r="M180" s="168"/>
    </row>
    <row r="181" spans="1:16" x14ac:dyDescent="0.25">
      <c r="B181" s="170"/>
      <c r="C181" s="171"/>
      <c r="D181" s="171"/>
      <c r="E181" s="171"/>
      <c r="F181" s="171"/>
      <c r="G181" s="171"/>
      <c r="H181" s="171"/>
      <c r="I181" s="171"/>
      <c r="J181" s="171"/>
      <c r="K181" s="171"/>
      <c r="L181" s="172"/>
      <c r="M181" s="2"/>
    </row>
    <row r="182" spans="1:16" x14ac:dyDescent="0.25">
      <c r="B182" s="456" t="str">
        <f>IF(Intro!$G$21="English",O182,P182)</f>
        <v>Fournissez l'état des résultats de votre entreprise pour ses ventes au Canada et à l'exportation des marchandises produites au Canada. Cet état doit être préparé en utilisant la méthode du coût de revient complet et déclaré selon le régime de l’année civile.</v>
      </c>
      <c r="C182" s="457"/>
      <c r="D182" s="457"/>
      <c r="E182" s="457"/>
      <c r="F182" s="457"/>
      <c r="G182" s="457"/>
      <c r="H182" s="457"/>
      <c r="I182" s="457"/>
      <c r="J182" s="457"/>
      <c r="K182" s="457"/>
      <c r="L182" s="458"/>
      <c r="M182" s="2"/>
      <c r="O182" s="2" t="s">
        <v>251</v>
      </c>
      <c r="P182" s="17" t="s">
        <v>252</v>
      </c>
    </row>
    <row r="183" spans="1:16" x14ac:dyDescent="0.25">
      <c r="B183" s="456"/>
      <c r="C183" s="457"/>
      <c r="D183" s="457"/>
      <c r="E183" s="457"/>
      <c r="F183" s="457"/>
      <c r="G183" s="457"/>
      <c r="H183" s="457"/>
      <c r="I183" s="457"/>
      <c r="J183" s="457"/>
      <c r="K183" s="457"/>
      <c r="L183" s="458"/>
      <c r="M183" s="2"/>
      <c r="P183" s="17"/>
    </row>
    <row r="184" spans="1:16" x14ac:dyDescent="0.25">
      <c r="B184" s="170"/>
      <c r="C184" s="171"/>
      <c r="D184" s="171"/>
      <c r="E184" s="171"/>
      <c r="F184" s="171"/>
      <c r="G184" s="171"/>
      <c r="H184" s="171"/>
      <c r="I184" s="171"/>
      <c r="J184" s="171"/>
      <c r="K184" s="171"/>
      <c r="L184" s="172"/>
      <c r="M184" s="2"/>
    </row>
    <row r="185" spans="1:16" x14ac:dyDescent="0.25">
      <c r="B185" s="769" t="str">
        <f>IF(Intro!$G$21="English",O185,P185)</f>
        <v>Pour les ventes au Canada</v>
      </c>
      <c r="C185" s="663"/>
      <c r="D185" s="663"/>
      <c r="E185" s="663"/>
      <c r="F185" s="663"/>
      <c r="G185" s="663">
        <f>Variables!$B$6</f>
        <v>2023</v>
      </c>
      <c r="H185" s="663">
        <f>G185+1</f>
        <v>2024</v>
      </c>
      <c r="I185" s="663">
        <f>H185+1</f>
        <v>2025</v>
      </c>
      <c r="J185" s="663" t="str">
        <f>J111</f>
        <v>janv- mars 2025</v>
      </c>
      <c r="K185" s="663" t="str">
        <f>K111</f>
        <v>janv- mars 2026</v>
      </c>
      <c r="L185" s="179"/>
      <c r="M185" s="2"/>
      <c r="O185" s="11" t="s">
        <v>43</v>
      </c>
      <c r="P185" s="11" t="s">
        <v>44</v>
      </c>
    </row>
    <row r="186" spans="1:16" x14ac:dyDescent="0.25">
      <c r="B186" s="769"/>
      <c r="C186" s="663"/>
      <c r="D186" s="663"/>
      <c r="E186" s="663"/>
      <c r="F186" s="663"/>
      <c r="G186" s="663"/>
      <c r="H186" s="663"/>
      <c r="I186" s="663"/>
      <c r="J186" s="663"/>
      <c r="K186" s="663"/>
      <c r="L186" s="179"/>
      <c r="M186" s="2"/>
      <c r="O186" s="11"/>
      <c r="P186" s="11"/>
    </row>
    <row r="187" spans="1:16" x14ac:dyDescent="0.25">
      <c r="B187" s="760" t="str">
        <f>IF(Intro!$G$21="English",O187,P187)</f>
        <v>Valeur de vente nette</v>
      </c>
      <c r="C187" s="761"/>
      <c r="D187" s="761"/>
      <c r="E187" s="761"/>
      <c r="F187" s="214" t="s">
        <v>563</v>
      </c>
      <c r="G187" s="274"/>
      <c r="H187" s="274"/>
      <c r="I187" s="274"/>
      <c r="J187" s="274"/>
      <c r="K187" s="274"/>
      <c r="L187" s="179"/>
      <c r="M187" s="2"/>
      <c r="O187" s="2" t="s">
        <v>70</v>
      </c>
      <c r="P187" s="2" t="s">
        <v>71</v>
      </c>
    </row>
    <row r="188" spans="1:16" x14ac:dyDescent="0.25">
      <c r="B188" s="762" t="str">
        <f>IF(Intro!$G$21="English",O188,P188)</f>
        <v>Stock d'ouverture</v>
      </c>
      <c r="C188" s="763"/>
      <c r="D188" s="763"/>
      <c r="E188" s="763"/>
      <c r="F188" s="214" t="s">
        <v>563</v>
      </c>
      <c r="G188" s="274"/>
      <c r="H188" s="274"/>
      <c r="I188" s="274"/>
      <c r="J188" s="274"/>
      <c r="K188" s="274"/>
      <c r="L188" s="179"/>
      <c r="M188" s="2"/>
      <c r="O188" s="11" t="s">
        <v>72</v>
      </c>
      <c r="P188" s="2" t="s">
        <v>73</v>
      </c>
    </row>
    <row r="189" spans="1:16" x14ac:dyDescent="0.25">
      <c r="B189" s="762" t="str">
        <f>IF(Intro!$G$21="English",O189,P189)</f>
        <v>Coût des marchandises fabriquées</v>
      </c>
      <c r="C189" s="763"/>
      <c r="D189" s="763"/>
      <c r="E189" s="763"/>
      <c r="F189" s="214" t="s">
        <v>563</v>
      </c>
      <c r="G189" s="275">
        <f>G33</f>
        <v>0</v>
      </c>
      <c r="H189" s="275">
        <f>H33</f>
        <v>0</v>
      </c>
      <c r="I189" s="275">
        <f>I33</f>
        <v>0</v>
      </c>
      <c r="J189" s="275">
        <f>J33</f>
        <v>0</v>
      </c>
      <c r="K189" s="275">
        <f>K33</f>
        <v>0</v>
      </c>
      <c r="L189" s="179"/>
      <c r="M189" s="2"/>
      <c r="O189" s="11" t="s">
        <v>64</v>
      </c>
      <c r="P189" s="2" t="s">
        <v>253</v>
      </c>
    </row>
    <row r="190" spans="1:16" x14ac:dyDescent="0.25">
      <c r="B190" s="762" t="str">
        <f>IF(Intro!$G$21="English",O190,P190)</f>
        <v>Stock de clôture</v>
      </c>
      <c r="C190" s="763"/>
      <c r="D190" s="763"/>
      <c r="E190" s="763"/>
      <c r="F190" s="214" t="s">
        <v>563</v>
      </c>
      <c r="G190" s="274"/>
      <c r="H190" s="274"/>
      <c r="I190" s="274"/>
      <c r="J190" s="274"/>
      <c r="K190" s="274"/>
      <c r="L190" s="179"/>
      <c r="M190" s="2"/>
      <c r="O190" s="11" t="s">
        <v>254</v>
      </c>
      <c r="P190" s="2" t="s">
        <v>597</v>
      </c>
    </row>
    <row r="191" spans="1:16" s="3" customFormat="1" x14ac:dyDescent="0.25">
      <c r="A191" s="18"/>
      <c r="B191" s="767" t="str">
        <f>IF(Intro!$G$21="English",O191,P191)</f>
        <v>Coût des marchandises vendues</v>
      </c>
      <c r="C191" s="768"/>
      <c r="D191" s="768"/>
      <c r="E191" s="768"/>
      <c r="F191" s="214" t="s">
        <v>563</v>
      </c>
      <c r="G191" s="282">
        <f>G188+G189-G190</f>
        <v>0</v>
      </c>
      <c r="H191" s="282">
        <f>H188+H189-H190</f>
        <v>0</v>
      </c>
      <c r="I191" s="282">
        <f t="shared" ref="I191:J191" si="12">I188+I189-I190</f>
        <v>0</v>
      </c>
      <c r="J191" s="282">
        <f t="shared" si="12"/>
        <v>0</v>
      </c>
      <c r="K191" s="282">
        <f t="shared" ref="K191" si="13">K188+K189-K190</f>
        <v>0</v>
      </c>
      <c r="L191" s="179"/>
      <c r="O191" s="3" t="s">
        <v>74</v>
      </c>
      <c r="P191" s="3" t="s">
        <v>48</v>
      </c>
    </row>
    <row r="192" spans="1:16" s="3" customFormat="1" x14ac:dyDescent="0.25">
      <c r="A192" s="18"/>
      <c r="B192" s="758" t="str">
        <f>IF(Intro!$G$21="English",O192,P192)</f>
        <v>Marge bénéficiaire brute (perte brute)</v>
      </c>
      <c r="C192" s="759"/>
      <c r="D192" s="759"/>
      <c r="E192" s="759"/>
      <c r="F192" s="214" t="s">
        <v>563</v>
      </c>
      <c r="G192" s="282">
        <f>G187-G191</f>
        <v>0</v>
      </c>
      <c r="H192" s="282">
        <f t="shared" ref="H192:I192" si="14">H187-H191</f>
        <v>0</v>
      </c>
      <c r="I192" s="282">
        <f t="shared" si="14"/>
        <v>0</v>
      </c>
      <c r="J192" s="282">
        <f t="shared" ref="J192:K192" si="15">J187-J191</f>
        <v>0</v>
      </c>
      <c r="K192" s="282">
        <f t="shared" si="15"/>
        <v>0</v>
      </c>
      <c r="L192" s="179"/>
      <c r="O192" s="3" t="s">
        <v>49</v>
      </c>
      <c r="P192" s="3" t="s">
        <v>50</v>
      </c>
    </row>
    <row r="193" spans="1:16" x14ac:dyDescent="0.25">
      <c r="B193" s="762" t="str">
        <f>IF(Intro!$G$21="English",O193,P193)</f>
        <v xml:space="preserve">Frais généraux, de vente, et d'administration </v>
      </c>
      <c r="C193" s="763"/>
      <c r="D193" s="763"/>
      <c r="E193" s="763"/>
      <c r="F193" s="214" t="s">
        <v>563</v>
      </c>
      <c r="G193" s="274"/>
      <c r="H193" s="274"/>
      <c r="I193" s="274"/>
      <c r="J193" s="274"/>
      <c r="K193" s="274"/>
      <c r="L193" s="179"/>
      <c r="M193" s="2"/>
      <c r="O193" s="2" t="s">
        <v>75</v>
      </c>
      <c r="P193" s="2" t="s">
        <v>76</v>
      </c>
    </row>
    <row r="194" spans="1:16" x14ac:dyDescent="0.25">
      <c r="B194" s="762" t="str">
        <f>IF(Intro!$G$21="English",O194,P194)</f>
        <v>Charges financières</v>
      </c>
      <c r="C194" s="763"/>
      <c r="D194" s="763"/>
      <c r="E194" s="763"/>
      <c r="F194" s="214" t="s">
        <v>563</v>
      </c>
      <c r="G194" s="274"/>
      <c r="H194" s="274"/>
      <c r="I194" s="274"/>
      <c r="J194" s="274"/>
      <c r="K194" s="274"/>
      <c r="L194" s="179"/>
      <c r="M194" s="2"/>
      <c r="O194" s="2" t="s">
        <v>53</v>
      </c>
      <c r="P194" s="2" t="s">
        <v>54</v>
      </c>
    </row>
    <row r="195" spans="1:16" x14ac:dyDescent="0.25">
      <c r="B195" s="762" t="str">
        <f>IF(Intro!$G$21="English",O195,P195)</f>
        <v>Autres dépenses</v>
      </c>
      <c r="C195" s="763"/>
      <c r="D195" s="763"/>
      <c r="E195" s="763"/>
      <c r="F195" s="214" t="s">
        <v>563</v>
      </c>
      <c r="G195" s="274"/>
      <c r="H195" s="274"/>
      <c r="I195" s="274"/>
      <c r="J195" s="274"/>
      <c r="K195" s="274"/>
      <c r="L195" s="179"/>
      <c r="M195" s="2"/>
      <c r="O195" s="2" t="s">
        <v>114</v>
      </c>
      <c r="P195" s="2" t="s">
        <v>115</v>
      </c>
    </row>
    <row r="196" spans="1:16" s="3" customFormat="1" x14ac:dyDescent="0.25">
      <c r="A196" s="18"/>
      <c r="B196" s="758" t="str">
        <f>IF(Intro!$G$21="English",O196,P196)</f>
        <v>Revenu net (perte nette) avant impôts</v>
      </c>
      <c r="C196" s="759"/>
      <c r="D196" s="759"/>
      <c r="E196" s="759"/>
      <c r="F196" s="214" t="s">
        <v>563</v>
      </c>
      <c r="G196" s="282">
        <f>G192-G193-G194-G195</f>
        <v>0</v>
      </c>
      <c r="H196" s="282">
        <f t="shared" ref="H196:I196" si="16">H192-H193-H194-H195</f>
        <v>0</v>
      </c>
      <c r="I196" s="282">
        <f t="shared" si="16"/>
        <v>0</v>
      </c>
      <c r="J196" s="282">
        <f t="shared" ref="J196:K196" si="17">J192-J193-J194-J195</f>
        <v>0</v>
      </c>
      <c r="K196" s="282">
        <f t="shared" si="17"/>
        <v>0</v>
      </c>
      <c r="L196" s="179"/>
      <c r="O196" s="3" t="s">
        <v>55</v>
      </c>
      <c r="P196" s="3" t="s">
        <v>56</v>
      </c>
    </row>
    <row r="197" spans="1:16" x14ac:dyDescent="0.25">
      <c r="B197" s="159"/>
      <c r="C197" s="160"/>
      <c r="D197" s="2"/>
      <c r="E197" s="2"/>
      <c r="F197" s="25"/>
      <c r="G197" s="26"/>
      <c r="H197" s="26"/>
      <c r="I197" s="26"/>
      <c r="J197" s="26"/>
      <c r="K197" s="26"/>
      <c r="L197" s="27"/>
      <c r="M197" s="2"/>
      <c r="O197" s="11"/>
    </row>
    <row r="198" spans="1:16" s="3" customFormat="1" x14ac:dyDescent="0.25">
      <c r="A198" s="18"/>
      <c r="B198" s="236" t="str">
        <f>IF(Intro!$G$21="English",O198,P198)</f>
        <v>Décrire les "Autres dépenses".</v>
      </c>
      <c r="L198" s="162"/>
      <c r="O198" s="2" t="s">
        <v>717</v>
      </c>
      <c r="P198" s="2" t="s">
        <v>718</v>
      </c>
    </row>
    <row r="199" spans="1:16" s="3" customFormat="1" x14ac:dyDescent="0.25">
      <c r="A199" s="18"/>
      <c r="B199" s="237"/>
      <c r="C199" s="151"/>
      <c r="L199" s="162"/>
      <c r="O199" s="2"/>
      <c r="P199" s="2"/>
    </row>
    <row r="200" spans="1:16" s="3" customFormat="1" x14ac:dyDescent="0.25">
      <c r="A200" s="18"/>
      <c r="B200" s="794"/>
      <c r="C200" s="795"/>
      <c r="D200" s="795"/>
      <c r="E200" s="795"/>
      <c r="F200" s="795"/>
      <c r="G200" s="795"/>
      <c r="H200" s="795"/>
      <c r="I200" s="795"/>
      <c r="J200" s="795"/>
      <c r="K200" s="795"/>
      <c r="L200" s="796"/>
      <c r="O200" s="2"/>
      <c r="P200" s="2"/>
    </row>
    <row r="201" spans="1:16" s="3" customFormat="1" x14ac:dyDescent="0.25">
      <c r="A201" s="18"/>
      <c r="B201" s="794"/>
      <c r="C201" s="795"/>
      <c r="D201" s="795"/>
      <c r="E201" s="795"/>
      <c r="F201" s="795"/>
      <c r="G201" s="795"/>
      <c r="H201" s="795"/>
      <c r="I201" s="795"/>
      <c r="J201" s="795"/>
      <c r="K201" s="795"/>
      <c r="L201" s="796"/>
      <c r="O201" s="2"/>
      <c r="P201" s="2"/>
    </row>
    <row r="202" spans="1:16" s="3" customFormat="1" x14ac:dyDescent="0.25">
      <c r="A202" s="18"/>
      <c r="B202" s="794"/>
      <c r="C202" s="795"/>
      <c r="D202" s="795"/>
      <c r="E202" s="795"/>
      <c r="F202" s="795"/>
      <c r="G202" s="795"/>
      <c r="H202" s="795"/>
      <c r="I202" s="795"/>
      <c r="J202" s="795"/>
      <c r="K202" s="795"/>
      <c r="L202" s="796"/>
      <c r="O202" s="2"/>
      <c r="P202" s="2"/>
    </row>
    <row r="203" spans="1:16" s="3" customFormat="1" x14ac:dyDescent="0.25">
      <c r="A203" s="18"/>
      <c r="B203" s="794"/>
      <c r="C203" s="795"/>
      <c r="D203" s="795"/>
      <c r="E203" s="795"/>
      <c r="F203" s="795"/>
      <c r="G203" s="795"/>
      <c r="H203" s="795"/>
      <c r="I203" s="795"/>
      <c r="J203" s="795"/>
      <c r="K203" s="795"/>
      <c r="L203" s="796"/>
      <c r="O203" s="2"/>
      <c r="P203" s="2"/>
    </row>
    <row r="204" spans="1:16" s="3" customFormat="1" x14ac:dyDescent="0.25">
      <c r="A204" s="18"/>
      <c r="B204" s="794"/>
      <c r="C204" s="795"/>
      <c r="D204" s="795"/>
      <c r="E204" s="795"/>
      <c r="F204" s="795"/>
      <c r="G204" s="795"/>
      <c r="H204" s="795"/>
      <c r="I204" s="795"/>
      <c r="J204" s="795"/>
      <c r="K204" s="795"/>
      <c r="L204" s="796"/>
      <c r="O204" s="2"/>
      <c r="P204" s="2"/>
    </row>
    <row r="205" spans="1:16" s="3" customFormat="1" x14ac:dyDescent="0.25">
      <c r="A205" s="18"/>
      <c r="B205" s="794"/>
      <c r="C205" s="795"/>
      <c r="D205" s="795"/>
      <c r="E205" s="795"/>
      <c r="F205" s="795"/>
      <c r="G205" s="795"/>
      <c r="H205" s="795"/>
      <c r="I205" s="795"/>
      <c r="J205" s="795"/>
      <c r="K205" s="795"/>
      <c r="L205" s="796"/>
      <c r="O205" s="2"/>
      <c r="P205" s="2"/>
    </row>
    <row r="206" spans="1:16" s="3" customFormat="1" x14ac:dyDescent="0.25">
      <c r="A206" s="18"/>
      <c r="B206" s="794"/>
      <c r="C206" s="795"/>
      <c r="D206" s="795"/>
      <c r="E206" s="795"/>
      <c r="F206" s="795"/>
      <c r="G206" s="795"/>
      <c r="H206" s="795"/>
      <c r="I206" s="795"/>
      <c r="J206" s="795"/>
      <c r="K206" s="795"/>
      <c r="L206" s="796"/>
      <c r="O206" s="2"/>
      <c r="P206" s="2"/>
    </row>
    <row r="207" spans="1:16" s="3" customFormat="1" x14ac:dyDescent="0.25">
      <c r="A207" s="18"/>
      <c r="B207" s="794"/>
      <c r="C207" s="795"/>
      <c r="D207" s="795"/>
      <c r="E207" s="795"/>
      <c r="F207" s="795"/>
      <c r="G207" s="795"/>
      <c r="H207" s="795"/>
      <c r="I207" s="795"/>
      <c r="J207" s="795"/>
      <c r="K207" s="795"/>
      <c r="L207" s="796"/>
      <c r="O207" s="2"/>
      <c r="P207" s="2"/>
    </row>
    <row r="208" spans="1:16" s="3" customFormat="1" x14ac:dyDescent="0.25">
      <c r="A208" s="18"/>
      <c r="B208" s="456" t="str">
        <f>B35</f>
        <v>Expliquez toute variation importante entre les périodes et toute irrégularité tels que des montants négatifs dans les montants indiqués ci-dessus.</v>
      </c>
      <c r="C208" s="457"/>
      <c r="D208" s="457"/>
      <c r="E208" s="457"/>
      <c r="F208" s="457"/>
      <c r="G208" s="457"/>
      <c r="H208" s="457"/>
      <c r="I208" s="457"/>
      <c r="J208" s="457"/>
      <c r="K208" s="457"/>
      <c r="L208" s="458"/>
      <c r="O208" s="2"/>
      <c r="P208" s="2"/>
    </row>
    <row r="209" spans="1:16" s="3" customFormat="1" x14ac:dyDescent="0.25">
      <c r="A209" s="18"/>
      <c r="B209" s="164"/>
      <c r="C209" s="151"/>
      <c r="D209" s="151"/>
      <c r="E209" s="151"/>
      <c r="F209" s="151"/>
      <c r="G209" s="151"/>
      <c r="H209" s="151"/>
      <c r="I209" s="151"/>
      <c r="J209" s="151"/>
      <c r="K209" s="151"/>
      <c r="L209" s="179"/>
    </row>
    <row r="210" spans="1:16" s="3" customFormat="1" x14ac:dyDescent="0.25">
      <c r="A210" s="18"/>
      <c r="B210" s="749"/>
      <c r="C210" s="750"/>
      <c r="D210" s="750"/>
      <c r="E210" s="750"/>
      <c r="F210" s="750"/>
      <c r="G210" s="750"/>
      <c r="H210" s="750"/>
      <c r="I210" s="750"/>
      <c r="J210" s="750"/>
      <c r="K210" s="750"/>
      <c r="L210" s="751"/>
    </row>
    <row r="211" spans="1:16" s="3" customFormat="1" x14ac:dyDescent="0.25">
      <c r="A211" s="18"/>
      <c r="B211" s="749"/>
      <c r="C211" s="750"/>
      <c r="D211" s="750"/>
      <c r="E211" s="750"/>
      <c r="F211" s="750"/>
      <c r="G211" s="750"/>
      <c r="H211" s="750"/>
      <c r="I211" s="750"/>
      <c r="J211" s="750"/>
      <c r="K211" s="750"/>
      <c r="L211" s="751"/>
    </row>
    <row r="212" spans="1:16" s="3" customFormat="1" x14ac:dyDescent="0.25">
      <c r="A212" s="18"/>
      <c r="B212" s="749"/>
      <c r="C212" s="750"/>
      <c r="D212" s="750"/>
      <c r="E212" s="750"/>
      <c r="F212" s="750"/>
      <c r="G212" s="750"/>
      <c r="H212" s="750"/>
      <c r="I212" s="750"/>
      <c r="J212" s="750"/>
      <c r="K212" s="750"/>
      <c r="L212" s="751"/>
    </row>
    <row r="213" spans="1:16" s="3" customFormat="1" x14ac:dyDescent="0.25">
      <c r="A213" s="18"/>
      <c r="B213" s="749"/>
      <c r="C213" s="750"/>
      <c r="D213" s="750"/>
      <c r="E213" s="750"/>
      <c r="F213" s="750"/>
      <c r="G213" s="750"/>
      <c r="H213" s="750"/>
      <c r="I213" s="750"/>
      <c r="J213" s="750"/>
      <c r="K213" s="750"/>
      <c r="L213" s="751"/>
      <c r="O213" s="2"/>
      <c r="P213" s="2"/>
    </row>
    <row r="214" spans="1:16" s="3" customFormat="1" x14ac:dyDescent="0.25">
      <c r="A214" s="18"/>
      <c r="B214" s="749"/>
      <c r="C214" s="750"/>
      <c r="D214" s="750"/>
      <c r="E214" s="750"/>
      <c r="F214" s="750"/>
      <c r="G214" s="750"/>
      <c r="H214" s="750"/>
      <c r="I214" s="750"/>
      <c r="J214" s="750"/>
      <c r="K214" s="750"/>
      <c r="L214" s="751"/>
      <c r="O214" s="2"/>
      <c r="P214" s="2"/>
    </row>
    <row r="215" spans="1:16" s="3" customFormat="1" x14ac:dyDescent="0.25">
      <c r="A215" s="18"/>
      <c r="B215" s="749"/>
      <c r="C215" s="750"/>
      <c r="D215" s="750"/>
      <c r="E215" s="750"/>
      <c r="F215" s="750"/>
      <c r="G215" s="750"/>
      <c r="H215" s="750"/>
      <c r="I215" s="750"/>
      <c r="J215" s="750"/>
      <c r="K215" s="750"/>
      <c r="L215" s="751"/>
      <c r="O215" s="2"/>
      <c r="P215" s="2"/>
    </row>
    <row r="216" spans="1:16" s="3" customFormat="1" x14ac:dyDescent="0.25">
      <c r="A216" s="18"/>
      <c r="B216" s="749"/>
      <c r="C216" s="750"/>
      <c r="D216" s="750"/>
      <c r="E216" s="750"/>
      <c r="F216" s="750"/>
      <c r="G216" s="750"/>
      <c r="H216" s="750"/>
      <c r="I216" s="750"/>
      <c r="J216" s="750"/>
      <c r="K216" s="750"/>
      <c r="L216" s="751"/>
    </row>
    <row r="217" spans="1:16" s="3" customFormat="1" x14ac:dyDescent="0.25">
      <c r="A217" s="18"/>
      <c r="B217" s="749"/>
      <c r="C217" s="750"/>
      <c r="D217" s="750"/>
      <c r="E217" s="750"/>
      <c r="F217" s="750"/>
      <c r="G217" s="750"/>
      <c r="H217" s="750"/>
      <c r="I217" s="750"/>
      <c r="J217" s="750"/>
      <c r="K217" s="750"/>
      <c r="L217" s="751"/>
    </row>
    <row r="218" spans="1:16" x14ac:dyDescent="0.25">
      <c r="B218" s="159"/>
      <c r="C218" s="160"/>
      <c r="D218" s="2"/>
      <c r="E218" s="2"/>
      <c r="F218" s="25"/>
      <c r="G218" s="26"/>
      <c r="H218" s="26"/>
      <c r="I218" s="26"/>
      <c r="J218" s="26"/>
      <c r="K218" s="26"/>
      <c r="L218" s="27"/>
      <c r="M218" s="2"/>
      <c r="O218" s="11"/>
    </row>
    <row r="219" spans="1:16" x14ac:dyDescent="0.25">
      <c r="B219" s="769" t="str">
        <f>IF(Intro!$G$21="English",O219,P219)</f>
        <v>Pour les ventes à l'exportation</v>
      </c>
      <c r="C219" s="663"/>
      <c r="D219" s="663"/>
      <c r="E219" s="663"/>
      <c r="F219" s="663"/>
      <c r="G219" s="663">
        <f>G185</f>
        <v>2023</v>
      </c>
      <c r="H219" s="663">
        <f>H185</f>
        <v>2024</v>
      </c>
      <c r="I219" s="663">
        <f>I185</f>
        <v>2025</v>
      </c>
      <c r="J219" s="663" t="str">
        <f>J185</f>
        <v>janv- mars 2025</v>
      </c>
      <c r="K219" s="663" t="str">
        <f>K185</f>
        <v>janv- mars 2026</v>
      </c>
      <c r="L219" s="179"/>
      <c r="M219" s="2"/>
      <c r="O219" s="11" t="s">
        <v>216</v>
      </c>
      <c r="P219" s="11" t="s">
        <v>217</v>
      </c>
    </row>
    <row r="220" spans="1:16" x14ac:dyDescent="0.25">
      <c r="B220" s="769"/>
      <c r="C220" s="663"/>
      <c r="D220" s="663"/>
      <c r="E220" s="663"/>
      <c r="F220" s="663"/>
      <c r="G220" s="663"/>
      <c r="H220" s="663"/>
      <c r="I220" s="663"/>
      <c r="J220" s="663"/>
      <c r="K220" s="663"/>
      <c r="L220" s="179"/>
      <c r="M220" s="2"/>
      <c r="O220" s="11"/>
      <c r="P220" s="11"/>
    </row>
    <row r="221" spans="1:16" x14ac:dyDescent="0.25">
      <c r="B221" s="760" t="str">
        <f t="shared" ref="B221:B230" si="18">B187</f>
        <v>Valeur de vente nette</v>
      </c>
      <c r="C221" s="761"/>
      <c r="D221" s="761"/>
      <c r="E221" s="761"/>
      <c r="F221" s="214" t="s">
        <v>563</v>
      </c>
      <c r="G221" s="274"/>
      <c r="H221" s="274"/>
      <c r="I221" s="274"/>
      <c r="J221" s="274"/>
      <c r="K221" s="274"/>
      <c r="L221" s="179"/>
      <c r="M221" s="2"/>
    </row>
    <row r="222" spans="1:16" x14ac:dyDescent="0.25">
      <c r="B222" s="760" t="str">
        <f t="shared" si="18"/>
        <v>Stock d'ouverture</v>
      </c>
      <c r="C222" s="761"/>
      <c r="D222" s="761"/>
      <c r="E222" s="761"/>
      <c r="F222" s="214" t="s">
        <v>563</v>
      </c>
      <c r="G222" s="274"/>
      <c r="H222" s="274"/>
      <c r="I222" s="274"/>
      <c r="J222" s="274"/>
      <c r="K222" s="274"/>
      <c r="L222" s="179"/>
      <c r="M222" s="2"/>
      <c r="O222" s="11"/>
    </row>
    <row r="223" spans="1:16" x14ac:dyDescent="0.25">
      <c r="B223" s="760" t="str">
        <f t="shared" si="18"/>
        <v>Coût des marchandises fabriquées</v>
      </c>
      <c r="C223" s="761"/>
      <c r="D223" s="761"/>
      <c r="E223" s="761"/>
      <c r="F223" s="214" t="s">
        <v>563</v>
      </c>
      <c r="G223" s="275">
        <f>G58</f>
        <v>0</v>
      </c>
      <c r="H223" s="275">
        <f>H58</f>
        <v>0</v>
      </c>
      <c r="I223" s="275">
        <f>I58</f>
        <v>0</v>
      </c>
      <c r="J223" s="275">
        <f>J58</f>
        <v>0</v>
      </c>
      <c r="K223" s="275">
        <f>K58</f>
        <v>0</v>
      </c>
      <c r="L223" s="179"/>
      <c r="M223" s="2"/>
      <c r="O223" s="11"/>
    </row>
    <row r="224" spans="1:16" x14ac:dyDescent="0.25">
      <c r="B224" s="760" t="str">
        <f t="shared" si="18"/>
        <v>Stock de clôture</v>
      </c>
      <c r="C224" s="761"/>
      <c r="D224" s="761"/>
      <c r="E224" s="761"/>
      <c r="F224" s="214" t="s">
        <v>563</v>
      </c>
      <c r="G224" s="274"/>
      <c r="H224" s="274"/>
      <c r="I224" s="274"/>
      <c r="J224" s="274"/>
      <c r="K224" s="274"/>
      <c r="L224" s="179"/>
      <c r="M224" s="2"/>
      <c r="O224" s="11"/>
    </row>
    <row r="225" spans="1:16" s="3" customFormat="1" x14ac:dyDescent="0.25">
      <c r="A225" s="18"/>
      <c r="B225" s="758" t="str">
        <f t="shared" si="18"/>
        <v>Coût des marchandises vendues</v>
      </c>
      <c r="C225" s="759"/>
      <c r="D225" s="759"/>
      <c r="E225" s="759"/>
      <c r="F225" s="214" t="s">
        <v>563</v>
      </c>
      <c r="G225" s="282">
        <f>G222+G223-G224</f>
        <v>0</v>
      </c>
      <c r="H225" s="282">
        <f>H222+H223-H224</f>
        <v>0</v>
      </c>
      <c r="I225" s="282">
        <f>I222+I223-I224</f>
        <v>0</v>
      </c>
      <c r="J225" s="282">
        <f>J222+J223-J224</f>
        <v>0</v>
      </c>
      <c r="K225" s="282">
        <f>K222+K223-K224</f>
        <v>0</v>
      </c>
      <c r="L225" s="179"/>
    </row>
    <row r="226" spans="1:16" s="3" customFormat="1" x14ac:dyDescent="0.25">
      <c r="A226" s="18"/>
      <c r="B226" s="758" t="str">
        <f t="shared" si="18"/>
        <v>Marge bénéficiaire brute (perte brute)</v>
      </c>
      <c r="C226" s="759"/>
      <c r="D226" s="759"/>
      <c r="E226" s="759"/>
      <c r="F226" s="214" t="s">
        <v>563</v>
      </c>
      <c r="G226" s="282">
        <f>G221-G225</f>
        <v>0</v>
      </c>
      <c r="H226" s="282">
        <f t="shared" ref="H226" si="19">H221-H225</f>
        <v>0</v>
      </c>
      <c r="I226" s="282">
        <f t="shared" ref="I226:J226" si="20">I221-I225</f>
        <v>0</v>
      </c>
      <c r="J226" s="282">
        <f t="shared" si="20"/>
        <v>0</v>
      </c>
      <c r="K226" s="282">
        <f t="shared" ref="K226" si="21">K221-K225</f>
        <v>0</v>
      </c>
      <c r="L226" s="179"/>
    </row>
    <row r="227" spans="1:16" x14ac:dyDescent="0.25">
      <c r="B227" s="760" t="str">
        <f t="shared" si="18"/>
        <v xml:space="preserve">Frais généraux, de vente, et d'administration </v>
      </c>
      <c r="C227" s="761"/>
      <c r="D227" s="761"/>
      <c r="E227" s="761"/>
      <c r="F227" s="214" t="s">
        <v>563</v>
      </c>
      <c r="G227" s="274"/>
      <c r="H227" s="274"/>
      <c r="I227" s="274"/>
      <c r="J227" s="274"/>
      <c r="K227" s="274"/>
      <c r="L227" s="179"/>
      <c r="M227" s="2"/>
    </row>
    <row r="228" spans="1:16" x14ac:dyDescent="0.25">
      <c r="B228" s="760" t="str">
        <f t="shared" si="18"/>
        <v>Charges financières</v>
      </c>
      <c r="C228" s="761"/>
      <c r="D228" s="761"/>
      <c r="E228" s="761"/>
      <c r="F228" s="214" t="s">
        <v>563</v>
      </c>
      <c r="G228" s="274"/>
      <c r="H228" s="274"/>
      <c r="I228" s="274"/>
      <c r="J228" s="274"/>
      <c r="K228" s="274"/>
      <c r="L228" s="179"/>
      <c r="M228" s="2"/>
    </row>
    <row r="229" spans="1:16" x14ac:dyDescent="0.25">
      <c r="B229" s="760" t="str">
        <f t="shared" si="18"/>
        <v>Autres dépenses</v>
      </c>
      <c r="C229" s="761"/>
      <c r="D229" s="761"/>
      <c r="E229" s="761"/>
      <c r="F229" s="214" t="s">
        <v>563</v>
      </c>
      <c r="G229" s="274"/>
      <c r="H229" s="274"/>
      <c r="I229" s="274"/>
      <c r="J229" s="274"/>
      <c r="K229" s="274"/>
      <c r="L229" s="179"/>
      <c r="M229" s="2"/>
    </row>
    <row r="230" spans="1:16" s="3" customFormat="1" x14ac:dyDescent="0.25">
      <c r="A230" s="18"/>
      <c r="B230" s="758" t="str">
        <f t="shared" si="18"/>
        <v>Revenu net (perte nette) avant impôts</v>
      </c>
      <c r="C230" s="759"/>
      <c r="D230" s="759"/>
      <c r="E230" s="759"/>
      <c r="F230" s="214" t="s">
        <v>563</v>
      </c>
      <c r="G230" s="282">
        <f>G226-G227-G228-G229</f>
        <v>0</v>
      </c>
      <c r="H230" s="282">
        <f t="shared" ref="H230" si="22">H226-H227-H228-H229</f>
        <v>0</v>
      </c>
      <c r="I230" s="282">
        <f t="shared" ref="I230:J230" si="23">I226-I227-I228-I229</f>
        <v>0</v>
      </c>
      <c r="J230" s="282">
        <f t="shared" si="23"/>
        <v>0</v>
      </c>
      <c r="K230" s="282">
        <f t="shared" ref="K230" si="24">K226-K227-K228-K229</f>
        <v>0</v>
      </c>
      <c r="L230" s="179"/>
    </row>
    <row r="231" spans="1:16" ht="15" customHeight="1" x14ac:dyDescent="0.25">
      <c r="B231" s="170"/>
      <c r="C231" s="171"/>
      <c r="D231" s="171"/>
      <c r="E231" s="171"/>
      <c r="F231" s="171"/>
      <c r="G231" s="171"/>
      <c r="H231" s="171"/>
      <c r="I231" s="171"/>
      <c r="J231" s="171"/>
      <c r="K231" s="171"/>
      <c r="L231" s="172"/>
      <c r="M231" s="2"/>
    </row>
    <row r="232" spans="1:16" s="3" customFormat="1" x14ac:dyDescent="0.25">
      <c r="A232" s="18"/>
      <c r="B232" s="236" t="str">
        <f>IF(Intro!$G$21="English",O232,P232)</f>
        <v>Décrire les "Autres dépenses".</v>
      </c>
      <c r="L232" s="162"/>
      <c r="O232" s="2" t="s">
        <v>717</v>
      </c>
      <c r="P232" s="2" t="s">
        <v>718</v>
      </c>
    </row>
    <row r="233" spans="1:16" s="3" customFormat="1" x14ac:dyDescent="0.25">
      <c r="A233" s="18"/>
      <c r="B233" s="237"/>
      <c r="C233" s="151"/>
      <c r="L233" s="162"/>
      <c r="O233" s="2"/>
      <c r="P233" s="2"/>
    </row>
    <row r="234" spans="1:16" s="3" customFormat="1" x14ac:dyDescent="0.25">
      <c r="A234" s="18"/>
      <c r="B234" s="794"/>
      <c r="C234" s="795"/>
      <c r="D234" s="795"/>
      <c r="E234" s="795"/>
      <c r="F234" s="795"/>
      <c r="G234" s="795"/>
      <c r="H234" s="795"/>
      <c r="I234" s="795"/>
      <c r="J234" s="795"/>
      <c r="K234" s="795"/>
      <c r="L234" s="796"/>
      <c r="O234" s="2"/>
      <c r="P234" s="2"/>
    </row>
    <row r="235" spans="1:16" s="3" customFormat="1" x14ac:dyDescent="0.25">
      <c r="A235" s="18"/>
      <c r="B235" s="794"/>
      <c r="C235" s="795"/>
      <c r="D235" s="795"/>
      <c r="E235" s="795"/>
      <c r="F235" s="795"/>
      <c r="G235" s="795"/>
      <c r="H235" s="795"/>
      <c r="I235" s="795"/>
      <c r="J235" s="795"/>
      <c r="K235" s="795"/>
      <c r="L235" s="796"/>
      <c r="O235" s="2"/>
      <c r="P235" s="2"/>
    </row>
    <row r="236" spans="1:16" s="3" customFormat="1" x14ac:dyDescent="0.25">
      <c r="A236" s="18"/>
      <c r="B236" s="794"/>
      <c r="C236" s="795"/>
      <c r="D236" s="795"/>
      <c r="E236" s="795"/>
      <c r="F236" s="795"/>
      <c r="G236" s="795"/>
      <c r="H236" s="795"/>
      <c r="I236" s="795"/>
      <c r="J236" s="795"/>
      <c r="K236" s="795"/>
      <c r="L236" s="796"/>
      <c r="O236" s="2"/>
      <c r="P236" s="2"/>
    </row>
    <row r="237" spans="1:16" s="3" customFormat="1" x14ac:dyDescent="0.25">
      <c r="A237" s="18"/>
      <c r="B237" s="794"/>
      <c r="C237" s="795"/>
      <c r="D237" s="795"/>
      <c r="E237" s="795"/>
      <c r="F237" s="795"/>
      <c r="G237" s="795"/>
      <c r="H237" s="795"/>
      <c r="I237" s="795"/>
      <c r="J237" s="795"/>
      <c r="K237" s="795"/>
      <c r="L237" s="796"/>
      <c r="O237" s="2"/>
      <c r="P237" s="2"/>
    </row>
    <row r="238" spans="1:16" s="3" customFormat="1" x14ac:dyDescent="0.25">
      <c r="A238" s="18"/>
      <c r="B238" s="794"/>
      <c r="C238" s="795"/>
      <c r="D238" s="795"/>
      <c r="E238" s="795"/>
      <c r="F238" s="795"/>
      <c r="G238" s="795"/>
      <c r="H238" s="795"/>
      <c r="I238" s="795"/>
      <c r="J238" s="795"/>
      <c r="K238" s="795"/>
      <c r="L238" s="796"/>
      <c r="O238" s="2"/>
      <c r="P238" s="2"/>
    </row>
    <row r="239" spans="1:16" s="3" customFormat="1" x14ac:dyDescent="0.25">
      <c r="A239" s="18"/>
      <c r="B239" s="794"/>
      <c r="C239" s="795"/>
      <c r="D239" s="795"/>
      <c r="E239" s="795"/>
      <c r="F239" s="795"/>
      <c r="G239" s="795"/>
      <c r="H239" s="795"/>
      <c r="I239" s="795"/>
      <c r="J239" s="795"/>
      <c r="K239" s="795"/>
      <c r="L239" s="796"/>
      <c r="O239" s="2"/>
      <c r="P239" s="2"/>
    </row>
    <row r="240" spans="1:16" s="3" customFormat="1" x14ac:dyDescent="0.25">
      <c r="A240" s="18"/>
      <c r="B240" s="794"/>
      <c r="C240" s="795"/>
      <c r="D240" s="795"/>
      <c r="E240" s="795"/>
      <c r="F240" s="795"/>
      <c r="G240" s="795"/>
      <c r="H240" s="795"/>
      <c r="I240" s="795"/>
      <c r="J240" s="795"/>
      <c r="K240" s="795"/>
      <c r="L240" s="796"/>
      <c r="O240" s="2"/>
      <c r="P240" s="2"/>
    </row>
    <row r="241" spans="1:16" s="3" customFormat="1" x14ac:dyDescent="0.25">
      <c r="A241" s="18"/>
      <c r="B241" s="794"/>
      <c r="C241" s="795"/>
      <c r="D241" s="795"/>
      <c r="E241" s="795"/>
      <c r="F241" s="795"/>
      <c r="G241" s="795"/>
      <c r="H241" s="795"/>
      <c r="I241" s="795"/>
      <c r="J241" s="795"/>
      <c r="K241" s="795"/>
      <c r="L241" s="796"/>
      <c r="O241" s="2"/>
      <c r="P241" s="2"/>
    </row>
    <row r="242" spans="1:16" s="3" customFormat="1" x14ac:dyDescent="0.25">
      <c r="A242" s="18"/>
      <c r="B242" s="456" t="str">
        <f>B35</f>
        <v>Expliquez toute variation importante entre les périodes et toute irrégularité tels que des montants négatifs dans les montants indiqués ci-dessus.</v>
      </c>
      <c r="C242" s="457"/>
      <c r="D242" s="457"/>
      <c r="E242" s="457"/>
      <c r="F242" s="457"/>
      <c r="G242" s="457"/>
      <c r="H242" s="457"/>
      <c r="I242" s="457"/>
      <c r="J242" s="457"/>
      <c r="K242" s="457"/>
      <c r="L242" s="458"/>
      <c r="O242" s="2"/>
      <c r="P242" s="2"/>
    </row>
    <row r="243" spans="1:16" s="3" customFormat="1" x14ac:dyDescent="0.25">
      <c r="A243" s="18"/>
      <c r="B243" s="164"/>
      <c r="C243" s="151"/>
      <c r="D243" s="151"/>
      <c r="E243" s="151"/>
      <c r="F243" s="151"/>
      <c r="G243" s="151"/>
      <c r="H243" s="151"/>
      <c r="I243" s="151"/>
      <c r="J243" s="151"/>
      <c r="K243" s="151"/>
      <c r="L243" s="179"/>
    </row>
    <row r="244" spans="1:16" s="3" customFormat="1" x14ac:dyDescent="0.25">
      <c r="A244" s="18"/>
      <c r="B244" s="749"/>
      <c r="C244" s="750"/>
      <c r="D244" s="750"/>
      <c r="E244" s="750"/>
      <c r="F244" s="750"/>
      <c r="G244" s="750"/>
      <c r="H244" s="750"/>
      <c r="I244" s="750"/>
      <c r="J244" s="750"/>
      <c r="K244" s="750"/>
      <c r="L244" s="751"/>
    </row>
    <row r="245" spans="1:16" s="3" customFormat="1" x14ac:dyDescent="0.25">
      <c r="A245" s="18"/>
      <c r="B245" s="749"/>
      <c r="C245" s="750"/>
      <c r="D245" s="750"/>
      <c r="E245" s="750"/>
      <c r="F245" s="750"/>
      <c r="G245" s="750"/>
      <c r="H245" s="750"/>
      <c r="I245" s="750"/>
      <c r="J245" s="750"/>
      <c r="K245" s="750"/>
      <c r="L245" s="751"/>
    </row>
    <row r="246" spans="1:16" s="3" customFormat="1" x14ac:dyDescent="0.25">
      <c r="A246" s="18"/>
      <c r="B246" s="749"/>
      <c r="C246" s="750"/>
      <c r="D246" s="750"/>
      <c r="E246" s="750"/>
      <c r="F246" s="750"/>
      <c r="G246" s="750"/>
      <c r="H246" s="750"/>
      <c r="I246" s="750"/>
      <c r="J246" s="750"/>
      <c r="K246" s="750"/>
      <c r="L246" s="751"/>
    </row>
    <row r="247" spans="1:16" s="3" customFormat="1" x14ac:dyDescent="0.25">
      <c r="A247" s="18"/>
      <c r="B247" s="749"/>
      <c r="C247" s="750"/>
      <c r="D247" s="750"/>
      <c r="E247" s="750"/>
      <c r="F247" s="750"/>
      <c r="G247" s="750"/>
      <c r="H247" s="750"/>
      <c r="I247" s="750"/>
      <c r="J247" s="750"/>
      <c r="K247" s="750"/>
      <c r="L247" s="751"/>
      <c r="O247" s="2"/>
      <c r="P247" s="2"/>
    </row>
    <row r="248" spans="1:16" s="3" customFormat="1" x14ac:dyDescent="0.25">
      <c r="A248" s="18"/>
      <c r="B248" s="749"/>
      <c r="C248" s="750"/>
      <c r="D248" s="750"/>
      <c r="E248" s="750"/>
      <c r="F248" s="750"/>
      <c r="G248" s="750"/>
      <c r="H248" s="750"/>
      <c r="I248" s="750"/>
      <c r="J248" s="750"/>
      <c r="K248" s="750"/>
      <c r="L248" s="751"/>
      <c r="O248" s="2"/>
      <c r="P248" s="2"/>
    </row>
    <row r="249" spans="1:16" s="3" customFormat="1" x14ac:dyDescent="0.25">
      <c r="A249" s="18"/>
      <c r="B249" s="749"/>
      <c r="C249" s="750"/>
      <c r="D249" s="750"/>
      <c r="E249" s="750"/>
      <c r="F249" s="750"/>
      <c r="G249" s="750"/>
      <c r="H249" s="750"/>
      <c r="I249" s="750"/>
      <c r="J249" s="750"/>
      <c r="K249" s="750"/>
      <c r="L249" s="751"/>
      <c r="O249" s="2"/>
      <c r="P249" s="2"/>
    </row>
    <row r="250" spans="1:16" s="3" customFormat="1" x14ac:dyDescent="0.25">
      <c r="A250" s="18"/>
      <c r="B250" s="749"/>
      <c r="C250" s="750"/>
      <c r="D250" s="750"/>
      <c r="E250" s="750"/>
      <c r="F250" s="750"/>
      <c r="G250" s="750"/>
      <c r="H250" s="750"/>
      <c r="I250" s="750"/>
      <c r="J250" s="750"/>
      <c r="K250" s="750"/>
      <c r="L250" s="751"/>
    </row>
    <row r="251" spans="1:16" s="3" customFormat="1" x14ac:dyDescent="0.25">
      <c r="A251" s="18"/>
      <c r="B251" s="749"/>
      <c r="C251" s="750"/>
      <c r="D251" s="750"/>
      <c r="E251" s="750"/>
      <c r="F251" s="750"/>
      <c r="G251" s="750"/>
      <c r="H251" s="750"/>
      <c r="I251" s="750"/>
      <c r="J251" s="750"/>
      <c r="K251" s="750"/>
      <c r="L251" s="751"/>
    </row>
    <row r="252" spans="1:16" x14ac:dyDescent="0.25">
      <c r="B252" s="159"/>
      <c r="C252" s="160"/>
      <c r="D252" s="2"/>
      <c r="E252" s="2"/>
      <c r="F252" s="25"/>
      <c r="G252" s="26"/>
      <c r="H252" s="26"/>
      <c r="I252" s="26"/>
      <c r="J252" s="26"/>
      <c r="K252" s="26"/>
      <c r="L252" s="27"/>
      <c r="M252" s="2"/>
      <c r="O252" s="11"/>
    </row>
    <row r="253" spans="1:16" x14ac:dyDescent="0.25">
      <c r="B253" s="783" t="str">
        <f>IF(Intro!$G$21="English",O253,P253)</f>
        <v>Vérification</v>
      </c>
      <c r="C253" s="784"/>
      <c r="D253" s="784"/>
      <c r="E253" s="784"/>
      <c r="F253" s="785"/>
      <c r="G253" s="707">
        <f>Variables!$B$6</f>
        <v>2023</v>
      </c>
      <c r="H253" s="707">
        <f>G253+1</f>
        <v>2024</v>
      </c>
      <c r="I253" s="707">
        <f>H253+1</f>
        <v>2025</v>
      </c>
      <c r="J253" s="707" t="str">
        <f>J219</f>
        <v>janv- mars 2025</v>
      </c>
      <c r="K253" s="707" t="str">
        <f>K219</f>
        <v>janv- mars 2026</v>
      </c>
      <c r="L253" s="179"/>
      <c r="M253" s="2"/>
      <c r="O253" s="11" t="s">
        <v>77</v>
      </c>
      <c r="P253" s="2" t="s">
        <v>204</v>
      </c>
    </row>
    <row r="254" spans="1:16" x14ac:dyDescent="0.25">
      <c r="B254" s="786"/>
      <c r="C254" s="787"/>
      <c r="D254" s="787"/>
      <c r="E254" s="787"/>
      <c r="F254" s="788"/>
      <c r="G254" s="708"/>
      <c r="H254" s="708"/>
      <c r="I254" s="708"/>
      <c r="J254" s="708"/>
      <c r="K254" s="708"/>
      <c r="L254" s="179"/>
      <c r="M254" s="2"/>
      <c r="O254" s="11"/>
    </row>
    <row r="255" spans="1:16" x14ac:dyDescent="0.25">
      <c r="B255" s="507" t="str">
        <f>IF(Intro!$G$21="English",O255,P255)</f>
        <v>La valeur totale des ventes nettes déclarée dans cette question dépasse-t-elle la valeur totale des ventes nettes de votre entreprise déclarée à la question 10 de cet onglet?</v>
      </c>
      <c r="C255" s="508"/>
      <c r="D255" s="508"/>
      <c r="E255" s="508"/>
      <c r="F255" s="509"/>
      <c r="G255" s="771" t="str">
        <f>IF(SUM(G221,G187)&gt;G384,Variables!$D$58,Variables!$D$57)</f>
        <v>Non</v>
      </c>
      <c r="H255" s="771" t="str">
        <f>IF(SUM(H221,H187)&gt;H384,Variables!$D$58,Variables!$D$57)</f>
        <v>Non</v>
      </c>
      <c r="I255" s="771" t="str">
        <f>IF(SUM(I221,I187)&gt;I384,Variables!$D$58,Variables!$D$57)</f>
        <v>Non</v>
      </c>
      <c r="J255" s="771" t="str">
        <f>IF(SUM(J221,J187)&gt;J384,Variables!$D$58,Variables!$D$57)</f>
        <v>Non</v>
      </c>
      <c r="K255" s="771" t="str">
        <f>IF(SUM(K221,K187)&gt;K384,Variables!$D$58,Variables!$D$57)</f>
        <v>Non</v>
      </c>
      <c r="L255" s="179"/>
      <c r="M255" s="2"/>
      <c r="O255" s="2" t="s">
        <v>829</v>
      </c>
      <c r="P255" s="2" t="s">
        <v>832</v>
      </c>
    </row>
    <row r="256" spans="1:16" x14ac:dyDescent="0.25">
      <c r="B256" s="475"/>
      <c r="C256" s="476"/>
      <c r="D256" s="476"/>
      <c r="E256" s="476"/>
      <c r="F256" s="797"/>
      <c r="G256" s="772"/>
      <c r="H256" s="772"/>
      <c r="I256" s="772"/>
      <c r="J256" s="772"/>
      <c r="K256" s="772"/>
      <c r="L256" s="179"/>
      <c r="M256" s="2"/>
    </row>
    <row r="257" spans="1:16" x14ac:dyDescent="0.25">
      <c r="B257" s="510"/>
      <c r="C257" s="511"/>
      <c r="D257" s="511"/>
      <c r="E257" s="511"/>
      <c r="F257" s="512"/>
      <c r="G257" s="773"/>
      <c r="H257" s="773"/>
      <c r="I257" s="773"/>
      <c r="J257" s="773"/>
      <c r="K257" s="773"/>
      <c r="L257" s="179"/>
      <c r="M257" s="2"/>
    </row>
    <row r="258" spans="1:16" x14ac:dyDescent="0.25">
      <c r="B258" s="507" t="str">
        <f>IF(Intro!$G$21="English",O258,P258)</f>
        <v>La valeur des ventes nettes (pour les ventes au Canada) déclarée dans cette question diffère-t-elle des valeurs des ventes nettes rendues déclarées (pour les ventes au Canada) à la question 1 de l'onglet Pro 2?</v>
      </c>
      <c r="C258" s="508"/>
      <c r="D258" s="508"/>
      <c r="E258" s="508"/>
      <c r="F258" s="509"/>
      <c r="G258" s="771" t="str">
        <f>IF(G187&lt;&gt;SUM('Pro 2'!G29,'Pro 2'!G32),Variables!$D$58,Variables!$D$57)</f>
        <v>Non</v>
      </c>
      <c r="H258" s="771" t="str">
        <f>IF(H187&lt;&gt;SUM('Pro 2'!H29,'Pro 2'!H32),Variables!$D$58,Variables!$D$57)</f>
        <v>Non</v>
      </c>
      <c r="I258" s="771" t="str">
        <f>IF(I187&lt;&gt;SUM('Pro 2'!I29,'Pro 2'!I32),Variables!$D$58,Variables!$D$57)</f>
        <v>Non</v>
      </c>
      <c r="J258" s="771" t="str">
        <f>IF(J187&lt;&gt;SUM('Pro 2'!J29,'Pro 2'!J32),Variables!$D$58,Variables!$D$57)</f>
        <v>Non</v>
      </c>
      <c r="K258" s="771" t="str">
        <f>IF(K187&lt;&gt;SUM('Pro 2'!K29,'Pro 2'!K32),Variables!$D$58,Variables!$D$57)</f>
        <v>Non</v>
      </c>
      <c r="L258" s="179"/>
      <c r="M258" s="2"/>
      <c r="O258" s="2" t="s">
        <v>756</v>
      </c>
      <c r="P258" s="2" t="s">
        <v>758</v>
      </c>
    </row>
    <row r="259" spans="1:16" x14ac:dyDescent="0.25">
      <c r="B259" s="475"/>
      <c r="C259" s="476"/>
      <c r="D259" s="476"/>
      <c r="E259" s="476"/>
      <c r="F259" s="797"/>
      <c r="G259" s="772"/>
      <c r="H259" s="772"/>
      <c r="I259" s="772"/>
      <c r="J259" s="772"/>
      <c r="K259" s="772"/>
      <c r="L259" s="179"/>
      <c r="M259" s="2"/>
    </row>
    <row r="260" spans="1:16" x14ac:dyDescent="0.25">
      <c r="B260" s="510"/>
      <c r="C260" s="511"/>
      <c r="D260" s="511"/>
      <c r="E260" s="511"/>
      <c r="F260" s="512"/>
      <c r="G260" s="773"/>
      <c r="H260" s="773"/>
      <c r="I260" s="773"/>
      <c r="J260" s="773"/>
      <c r="K260" s="773"/>
      <c r="L260" s="179"/>
      <c r="M260" s="2"/>
    </row>
    <row r="261" spans="1:16" x14ac:dyDescent="0.25">
      <c r="B261" s="507" t="str">
        <f>IF(Intro!$G$21="English",O261,P261)</f>
        <v>La valeur des ventes nettes (pour les ventes à l'exportation) déclarée dans cette question diffère-t-elle des valeurs des ventes nettes rendues déclarées (pour les ventes à l'exportation) à la question 1 de l'onglet Pro 2?</v>
      </c>
      <c r="C261" s="508"/>
      <c r="D261" s="508"/>
      <c r="E261" s="508"/>
      <c r="F261" s="509"/>
      <c r="G261" s="771" t="str">
        <f>IF(G221&lt;&gt;'Pro 2'!G38,Variables!$D$58,Variables!$D$57)</f>
        <v>Non</v>
      </c>
      <c r="H261" s="771" t="str">
        <f>IF(H221&lt;&gt;'Pro 2'!H38,Variables!$D$58,Variables!$D$57)</f>
        <v>Non</v>
      </c>
      <c r="I261" s="771" t="str">
        <f>IF(I221&lt;&gt;'Pro 2'!I38,Variables!$D$58,Variables!$D$57)</f>
        <v>Non</v>
      </c>
      <c r="J261" s="771" t="str">
        <f>IF(J221&lt;&gt;'Pro 2'!J38,Variables!$D$58,Variables!$D$57)</f>
        <v>Non</v>
      </c>
      <c r="K261" s="771" t="str">
        <f>IF(K221&lt;&gt;'Pro 2'!K38,Variables!$D$58,Variables!$D$57)</f>
        <v>Non</v>
      </c>
      <c r="L261" s="179"/>
      <c r="M261" s="2"/>
      <c r="O261" s="2" t="s">
        <v>757</v>
      </c>
      <c r="P261" s="2" t="s">
        <v>759</v>
      </c>
    </row>
    <row r="262" spans="1:16" x14ac:dyDescent="0.25">
      <c r="B262" s="475"/>
      <c r="C262" s="476"/>
      <c r="D262" s="476"/>
      <c r="E262" s="476"/>
      <c r="F262" s="797"/>
      <c r="G262" s="772"/>
      <c r="H262" s="772"/>
      <c r="I262" s="772"/>
      <c r="J262" s="772"/>
      <c r="K262" s="772"/>
      <c r="L262" s="179"/>
      <c r="M262" s="2"/>
    </row>
    <row r="263" spans="1:16" x14ac:dyDescent="0.25">
      <c r="B263" s="510"/>
      <c r="C263" s="511"/>
      <c r="D263" s="511"/>
      <c r="E263" s="511"/>
      <c r="F263" s="512"/>
      <c r="G263" s="773"/>
      <c r="H263" s="773"/>
      <c r="I263" s="773"/>
      <c r="J263" s="773"/>
      <c r="K263" s="773"/>
      <c r="L263" s="179"/>
      <c r="M263" s="2"/>
    </row>
    <row r="264" spans="1:16" s="157" customFormat="1" x14ac:dyDescent="0.25">
      <c r="A264" s="211"/>
      <c r="B264" s="774" t="str">
        <f>IF(Intro!$G$21="English",O264,P264)</f>
        <v>Le stock de clôture combiné déclaré dans cette question diffère-t-il du stock de clôture total déclaré à la question 1 de l'onglet Pro 2?</v>
      </c>
      <c r="C264" s="775"/>
      <c r="D264" s="775"/>
      <c r="E264" s="775"/>
      <c r="F264" s="776"/>
      <c r="G264" s="771" t="str">
        <f>IF(SUM(G190,G224)&lt;&gt;'Pro 2'!G41,Variables!$D$58,Variables!$D$57)</f>
        <v>Non</v>
      </c>
      <c r="H264" s="771" t="str">
        <f>IF(SUM(H190,H224)&lt;&gt;'Pro 2'!H41,Variables!$D$58,Variables!$D$57)</f>
        <v>Non</v>
      </c>
      <c r="I264" s="771" t="str">
        <f>IF(SUM(I190,I224)&lt;&gt;'Pro 2'!I41,Variables!$D$58,Variables!$D$57)</f>
        <v>Non</v>
      </c>
      <c r="J264" s="771" t="str">
        <f>IF(SUM(J190,J224)&lt;&gt;'Pro 2'!J41,Variables!$D$58,Variables!$D$57)</f>
        <v>Non</v>
      </c>
      <c r="K264" s="771" t="str">
        <f>IF(SUM(K190,K224)&lt;&gt;'Pro 2'!K41,Variables!$D$58,Variables!$D$57)</f>
        <v>Non</v>
      </c>
      <c r="L264" s="189"/>
      <c r="O264" s="2" t="s">
        <v>720</v>
      </c>
      <c r="P264" s="2" t="s">
        <v>786</v>
      </c>
    </row>
    <row r="265" spans="1:16" s="157" customFormat="1" x14ac:dyDescent="0.25">
      <c r="A265" s="211"/>
      <c r="B265" s="777"/>
      <c r="C265" s="778"/>
      <c r="D265" s="778"/>
      <c r="E265" s="778"/>
      <c r="F265" s="779"/>
      <c r="G265" s="772"/>
      <c r="H265" s="772"/>
      <c r="I265" s="772"/>
      <c r="J265" s="772"/>
      <c r="K265" s="772"/>
      <c r="L265" s="189"/>
      <c r="O265" s="2"/>
      <c r="P265" s="2"/>
    </row>
    <row r="266" spans="1:16" x14ac:dyDescent="0.25">
      <c r="B266" s="780"/>
      <c r="C266" s="781"/>
      <c r="D266" s="781"/>
      <c r="E266" s="781"/>
      <c r="F266" s="782"/>
      <c r="G266" s="773"/>
      <c r="H266" s="773"/>
      <c r="I266" s="773"/>
      <c r="J266" s="773"/>
      <c r="K266" s="773"/>
      <c r="L266" s="179"/>
      <c r="M266" s="2"/>
    </row>
    <row r="267" spans="1:16" x14ac:dyDescent="0.25">
      <c r="B267" s="159"/>
      <c r="C267" s="160"/>
      <c r="D267" s="160"/>
      <c r="E267" s="29"/>
      <c r="F267" s="29"/>
      <c r="G267" s="29"/>
      <c r="H267" s="29"/>
      <c r="I267" s="29"/>
      <c r="J267" s="29"/>
      <c r="K267" s="29"/>
      <c r="L267" s="30"/>
      <c r="M267" s="2"/>
      <c r="O267" s="152"/>
      <c r="P267" s="152"/>
    </row>
    <row r="268" spans="1:16" s="3" customFormat="1" x14ac:dyDescent="0.25">
      <c r="A268" s="12"/>
      <c r="B268" s="582"/>
      <c r="C268" s="583"/>
      <c r="D268" s="583"/>
      <c r="E268" s="583"/>
      <c r="F268" s="583"/>
      <c r="G268" s="583"/>
      <c r="H268" s="583"/>
      <c r="I268" s="583"/>
      <c r="J268" s="583"/>
      <c r="K268" s="583"/>
      <c r="L268" s="584"/>
      <c r="M268" s="152"/>
      <c r="O268" s="154"/>
      <c r="P268" s="154"/>
    </row>
    <row r="269" spans="1:16" s="3" customFormat="1" x14ac:dyDescent="0.25">
      <c r="A269" s="12"/>
      <c r="B269" s="582"/>
      <c r="C269" s="583"/>
      <c r="D269" s="583"/>
      <c r="E269" s="583"/>
      <c r="F269" s="583"/>
      <c r="G269" s="583"/>
      <c r="H269" s="583"/>
      <c r="I269" s="583"/>
      <c r="J269" s="583"/>
      <c r="K269" s="583"/>
      <c r="L269" s="584"/>
      <c r="M269" s="152"/>
      <c r="O269" s="154"/>
      <c r="P269" s="154"/>
    </row>
    <row r="270" spans="1:16" s="3" customFormat="1" x14ac:dyDescent="0.25">
      <c r="A270" s="12"/>
      <c r="B270" s="582"/>
      <c r="C270" s="583"/>
      <c r="D270" s="583"/>
      <c r="E270" s="583"/>
      <c r="F270" s="583"/>
      <c r="G270" s="583"/>
      <c r="H270" s="583"/>
      <c r="I270" s="583"/>
      <c r="J270" s="583"/>
      <c r="K270" s="583"/>
      <c r="L270" s="584"/>
      <c r="M270" s="152"/>
      <c r="O270" s="154"/>
      <c r="P270" s="154"/>
    </row>
    <row r="271" spans="1:16" s="3" customFormat="1" x14ac:dyDescent="0.25">
      <c r="A271" s="12"/>
      <c r="B271" s="582"/>
      <c r="C271" s="583"/>
      <c r="D271" s="583"/>
      <c r="E271" s="583"/>
      <c r="F271" s="583"/>
      <c r="G271" s="583"/>
      <c r="H271" s="583"/>
      <c r="I271" s="583"/>
      <c r="J271" s="583"/>
      <c r="K271" s="583"/>
      <c r="L271" s="584"/>
      <c r="M271" s="152"/>
      <c r="O271" s="154"/>
      <c r="P271" s="154"/>
    </row>
    <row r="272" spans="1:16" s="3" customFormat="1" x14ac:dyDescent="0.25">
      <c r="A272" s="12"/>
      <c r="B272" s="582"/>
      <c r="C272" s="583"/>
      <c r="D272" s="583"/>
      <c r="E272" s="583"/>
      <c r="F272" s="583"/>
      <c r="G272" s="583"/>
      <c r="H272" s="583"/>
      <c r="I272" s="583"/>
      <c r="J272" s="583"/>
      <c r="K272" s="583"/>
      <c r="L272" s="584"/>
      <c r="M272" s="152"/>
      <c r="O272" s="154"/>
      <c r="P272" s="154"/>
    </row>
    <row r="273" spans="1:16" s="3" customFormat="1" x14ac:dyDescent="0.25">
      <c r="A273" s="12"/>
      <c r="B273" s="582"/>
      <c r="C273" s="583"/>
      <c r="D273" s="583"/>
      <c r="E273" s="583"/>
      <c r="F273" s="583"/>
      <c r="G273" s="583"/>
      <c r="H273" s="583"/>
      <c r="I273" s="583"/>
      <c r="J273" s="583"/>
      <c r="K273" s="583"/>
      <c r="L273" s="584"/>
      <c r="M273" s="152"/>
      <c r="O273" s="154"/>
      <c r="P273" s="154"/>
    </row>
    <row r="274" spans="1:16" s="3" customFormat="1" x14ac:dyDescent="0.25">
      <c r="A274" s="12"/>
      <c r="B274" s="582"/>
      <c r="C274" s="583"/>
      <c r="D274" s="583"/>
      <c r="E274" s="583"/>
      <c r="F274" s="583"/>
      <c r="G274" s="583"/>
      <c r="H274" s="583"/>
      <c r="I274" s="583"/>
      <c r="J274" s="583"/>
      <c r="K274" s="583"/>
      <c r="L274" s="584"/>
      <c r="M274" s="152"/>
      <c r="O274" s="154"/>
      <c r="P274" s="154"/>
    </row>
    <row r="275" spans="1:16" s="3" customFormat="1" x14ac:dyDescent="0.25">
      <c r="A275" s="12"/>
      <c r="B275" s="582"/>
      <c r="C275" s="583"/>
      <c r="D275" s="583"/>
      <c r="E275" s="583"/>
      <c r="F275" s="583"/>
      <c r="G275" s="583"/>
      <c r="H275" s="583"/>
      <c r="I275" s="583"/>
      <c r="J275" s="583"/>
      <c r="K275" s="583"/>
      <c r="L275" s="584"/>
      <c r="M275" s="152"/>
      <c r="O275" s="154"/>
      <c r="P275" s="154"/>
    </row>
    <row r="276" spans="1:16" x14ac:dyDescent="0.25">
      <c r="B276" s="170"/>
      <c r="C276" s="171"/>
      <c r="D276" s="171"/>
      <c r="E276" s="171"/>
      <c r="F276" s="171"/>
      <c r="G276" s="171"/>
      <c r="H276" s="171"/>
      <c r="I276" s="171"/>
      <c r="J276" s="171"/>
      <c r="K276" s="171"/>
      <c r="L276" s="172"/>
      <c r="M276" s="2"/>
    </row>
    <row r="277" spans="1:16" s="3" customFormat="1" x14ac:dyDescent="0.25">
      <c r="A277" s="12"/>
      <c r="B277" s="585" t="s">
        <v>30</v>
      </c>
      <c r="C277" s="586"/>
      <c r="D277" s="586"/>
      <c r="E277" s="586"/>
      <c r="F277" s="586"/>
      <c r="G277" s="586"/>
      <c r="H277" s="586"/>
      <c r="I277" s="586"/>
      <c r="J277" s="586"/>
      <c r="K277" s="586"/>
      <c r="L277" s="587"/>
      <c r="M277" s="168"/>
    </row>
    <row r="278" spans="1:16" x14ac:dyDescent="0.25">
      <c r="B278" s="170"/>
      <c r="C278" s="171"/>
      <c r="D278" s="171"/>
      <c r="E278" s="171"/>
      <c r="F278" s="171"/>
      <c r="G278" s="171"/>
      <c r="H278" s="171"/>
      <c r="I278" s="171"/>
      <c r="J278" s="171"/>
      <c r="K278" s="171"/>
      <c r="L278" s="172"/>
      <c r="M278" s="2"/>
    </row>
    <row r="279" spans="1:16" x14ac:dyDescent="0.25">
      <c r="B279" s="579" t="str">
        <f>IF(Intro!$G$21="English",O279,P279)</f>
        <v>Décrivez comment votre entreprise a réparti les dépenses suivantes dans votre réponse aux états de résultats fournis à la question 5 de cet onglet :</v>
      </c>
      <c r="C279" s="580"/>
      <c r="D279" s="580"/>
      <c r="E279" s="580"/>
      <c r="F279" s="580"/>
      <c r="G279" s="580"/>
      <c r="H279" s="580"/>
      <c r="I279" s="580"/>
      <c r="J279" s="580"/>
      <c r="K279" s="580"/>
      <c r="L279" s="581"/>
      <c r="M279" s="2"/>
      <c r="O279" s="2" t="s">
        <v>830</v>
      </c>
      <c r="P279" s="2" t="s">
        <v>831</v>
      </c>
    </row>
    <row r="280" spans="1:16" x14ac:dyDescent="0.25">
      <c r="B280" s="170"/>
      <c r="C280" s="171"/>
      <c r="D280" s="171"/>
      <c r="E280" s="171"/>
      <c r="F280" s="171"/>
      <c r="G280" s="171"/>
      <c r="H280" s="171"/>
      <c r="I280" s="171"/>
      <c r="J280" s="171"/>
      <c r="K280" s="171"/>
      <c r="L280" s="172"/>
      <c r="M280" s="2"/>
    </row>
    <row r="281" spans="1:16" x14ac:dyDescent="0.25">
      <c r="B281" s="473" t="str">
        <f>IF(Intro!$G$21="English",O281,P281)</f>
        <v xml:space="preserve">Frais généraux, de vente, et d'administration </v>
      </c>
      <c r="C281" s="474"/>
      <c r="D281" s="791"/>
      <c r="E281" s="791"/>
      <c r="F281" s="791"/>
      <c r="G281" s="791"/>
      <c r="H281" s="791"/>
      <c r="I281" s="791"/>
      <c r="J281" s="791"/>
      <c r="K281" s="791"/>
      <c r="L281" s="705"/>
      <c r="M281" s="2"/>
      <c r="O281" s="11" t="s">
        <v>75</v>
      </c>
      <c r="P281" s="11" t="s">
        <v>76</v>
      </c>
    </row>
    <row r="282" spans="1:16" x14ac:dyDescent="0.25">
      <c r="B282" s="473"/>
      <c r="C282" s="474"/>
      <c r="D282" s="791"/>
      <c r="E282" s="791"/>
      <c r="F282" s="791"/>
      <c r="G282" s="791"/>
      <c r="H282" s="791"/>
      <c r="I282" s="791"/>
      <c r="J282" s="791"/>
      <c r="K282" s="791"/>
      <c r="L282" s="705"/>
      <c r="M282" s="2"/>
      <c r="O282" s="11"/>
      <c r="P282" s="11"/>
    </row>
    <row r="283" spans="1:16" x14ac:dyDescent="0.25">
      <c r="B283" s="473"/>
      <c r="C283" s="474"/>
      <c r="D283" s="791"/>
      <c r="E283" s="791"/>
      <c r="F283" s="791"/>
      <c r="G283" s="791"/>
      <c r="H283" s="791"/>
      <c r="I283" s="791"/>
      <c r="J283" s="791"/>
      <c r="K283" s="791"/>
      <c r="L283" s="705"/>
      <c r="M283" s="2"/>
      <c r="O283" s="11"/>
      <c r="P283" s="11"/>
    </row>
    <row r="284" spans="1:16" x14ac:dyDescent="0.25">
      <c r="B284" s="473"/>
      <c r="C284" s="474"/>
      <c r="D284" s="791"/>
      <c r="E284" s="791"/>
      <c r="F284" s="791"/>
      <c r="G284" s="791"/>
      <c r="H284" s="791"/>
      <c r="I284" s="791"/>
      <c r="J284" s="791"/>
      <c r="K284" s="791"/>
      <c r="L284" s="705"/>
      <c r="M284" s="2"/>
      <c r="O284" s="11"/>
      <c r="P284" s="11"/>
    </row>
    <row r="285" spans="1:16" x14ac:dyDescent="0.25">
      <c r="B285" s="473"/>
      <c r="C285" s="474"/>
      <c r="D285" s="791"/>
      <c r="E285" s="791"/>
      <c r="F285" s="791"/>
      <c r="G285" s="791"/>
      <c r="H285" s="791"/>
      <c r="I285" s="791"/>
      <c r="J285" s="791"/>
      <c r="K285" s="791"/>
      <c r="L285" s="705"/>
      <c r="M285" s="2"/>
      <c r="O285" s="11"/>
      <c r="P285" s="11"/>
    </row>
    <row r="286" spans="1:16" x14ac:dyDescent="0.25">
      <c r="B286" s="473"/>
      <c r="C286" s="474"/>
      <c r="D286" s="791"/>
      <c r="E286" s="791"/>
      <c r="F286" s="791"/>
      <c r="G286" s="791"/>
      <c r="H286" s="791"/>
      <c r="I286" s="791"/>
      <c r="J286" s="791"/>
      <c r="K286" s="791"/>
      <c r="L286" s="705"/>
      <c r="M286" s="2"/>
      <c r="O286" s="11"/>
      <c r="P286" s="11"/>
    </row>
    <row r="287" spans="1:16" x14ac:dyDescent="0.25">
      <c r="B287" s="473"/>
      <c r="C287" s="474"/>
      <c r="D287" s="791"/>
      <c r="E287" s="791"/>
      <c r="F287" s="791"/>
      <c r="G287" s="791"/>
      <c r="H287" s="791"/>
      <c r="I287" s="791"/>
      <c r="J287" s="791"/>
      <c r="K287" s="791"/>
      <c r="L287" s="705"/>
      <c r="M287" s="2"/>
      <c r="O287" s="11"/>
      <c r="P287" s="11"/>
    </row>
    <row r="288" spans="1:16" x14ac:dyDescent="0.25">
      <c r="B288" s="473"/>
      <c r="C288" s="474"/>
      <c r="D288" s="791"/>
      <c r="E288" s="791"/>
      <c r="F288" s="791"/>
      <c r="G288" s="791"/>
      <c r="H288" s="791"/>
      <c r="I288" s="791"/>
      <c r="J288" s="791"/>
      <c r="K288" s="791"/>
      <c r="L288" s="705"/>
      <c r="M288" s="2"/>
      <c r="O288" s="11"/>
      <c r="P288" s="11"/>
    </row>
    <row r="289" spans="2:16" x14ac:dyDescent="0.25">
      <c r="B289" s="473" t="str">
        <f>IF(Intro!$G$21="English",O289,P289)</f>
        <v>Charges financières</v>
      </c>
      <c r="C289" s="474"/>
      <c r="D289" s="791"/>
      <c r="E289" s="791"/>
      <c r="F289" s="791"/>
      <c r="G289" s="791"/>
      <c r="H289" s="791"/>
      <c r="I289" s="791"/>
      <c r="J289" s="791"/>
      <c r="K289" s="791"/>
      <c r="L289" s="705"/>
      <c r="M289" s="2"/>
      <c r="O289" s="11" t="s">
        <v>53</v>
      </c>
      <c r="P289" s="11" t="s">
        <v>54</v>
      </c>
    </row>
    <row r="290" spans="2:16" x14ac:dyDescent="0.25">
      <c r="B290" s="473"/>
      <c r="C290" s="474"/>
      <c r="D290" s="791"/>
      <c r="E290" s="791"/>
      <c r="F290" s="791"/>
      <c r="G290" s="791"/>
      <c r="H290" s="791"/>
      <c r="I290" s="791"/>
      <c r="J290" s="791"/>
      <c r="K290" s="791"/>
      <c r="L290" s="705"/>
      <c r="M290" s="2"/>
    </row>
    <row r="291" spans="2:16" x14ac:dyDescent="0.25">
      <c r="B291" s="473"/>
      <c r="C291" s="474"/>
      <c r="D291" s="791"/>
      <c r="E291" s="791"/>
      <c r="F291" s="791"/>
      <c r="G291" s="791"/>
      <c r="H291" s="791"/>
      <c r="I291" s="791"/>
      <c r="J291" s="791"/>
      <c r="K291" s="791"/>
      <c r="L291" s="705"/>
      <c r="M291" s="2"/>
      <c r="O291" s="11"/>
      <c r="P291" s="11"/>
    </row>
    <row r="292" spans="2:16" x14ac:dyDescent="0.25">
      <c r="B292" s="473"/>
      <c r="C292" s="474"/>
      <c r="D292" s="791"/>
      <c r="E292" s="791"/>
      <c r="F292" s="791"/>
      <c r="G292" s="791"/>
      <c r="H292" s="791"/>
      <c r="I292" s="791"/>
      <c r="J292" s="791"/>
      <c r="K292" s="791"/>
      <c r="L292" s="705"/>
      <c r="M292" s="2"/>
      <c r="O292" s="11"/>
      <c r="P292" s="11"/>
    </row>
    <row r="293" spans="2:16" x14ac:dyDescent="0.25">
      <c r="B293" s="473"/>
      <c r="C293" s="474"/>
      <c r="D293" s="791"/>
      <c r="E293" s="791"/>
      <c r="F293" s="791"/>
      <c r="G293" s="791"/>
      <c r="H293" s="791"/>
      <c r="I293" s="791"/>
      <c r="J293" s="791"/>
      <c r="K293" s="791"/>
      <c r="L293" s="705"/>
      <c r="M293" s="2"/>
      <c r="O293" s="11"/>
      <c r="P293" s="11"/>
    </row>
    <row r="294" spans="2:16" x14ac:dyDescent="0.25">
      <c r="B294" s="473"/>
      <c r="C294" s="474"/>
      <c r="D294" s="791"/>
      <c r="E294" s="791"/>
      <c r="F294" s="791"/>
      <c r="G294" s="791"/>
      <c r="H294" s="791"/>
      <c r="I294" s="791"/>
      <c r="J294" s="791"/>
      <c r="K294" s="791"/>
      <c r="L294" s="705"/>
      <c r="M294" s="2"/>
      <c r="O294" s="11"/>
      <c r="P294" s="11"/>
    </row>
    <row r="295" spans="2:16" x14ac:dyDescent="0.25">
      <c r="B295" s="473"/>
      <c r="C295" s="474"/>
      <c r="D295" s="791"/>
      <c r="E295" s="791"/>
      <c r="F295" s="791"/>
      <c r="G295" s="791"/>
      <c r="H295" s="791"/>
      <c r="I295" s="791"/>
      <c r="J295" s="791"/>
      <c r="K295" s="791"/>
      <c r="L295" s="705"/>
      <c r="M295" s="2"/>
      <c r="O295" s="11"/>
      <c r="P295" s="11"/>
    </row>
    <row r="296" spans="2:16" x14ac:dyDescent="0.25">
      <c r="B296" s="473"/>
      <c r="C296" s="474"/>
      <c r="D296" s="791"/>
      <c r="E296" s="791"/>
      <c r="F296" s="791"/>
      <c r="G296" s="791"/>
      <c r="H296" s="791"/>
      <c r="I296" s="791"/>
      <c r="J296" s="791"/>
      <c r="K296" s="791"/>
      <c r="L296" s="705"/>
      <c r="M296" s="2"/>
      <c r="O296" s="11"/>
      <c r="P296" s="11"/>
    </row>
    <row r="297" spans="2:16" x14ac:dyDescent="0.25">
      <c r="B297" s="473" t="str">
        <f>IF(Intro!$G$21="English",O297,P297)</f>
        <v>Autres dépenses</v>
      </c>
      <c r="C297" s="474"/>
      <c r="D297" s="791"/>
      <c r="E297" s="791"/>
      <c r="F297" s="791"/>
      <c r="G297" s="791"/>
      <c r="H297" s="791"/>
      <c r="I297" s="791"/>
      <c r="J297" s="791"/>
      <c r="K297" s="791"/>
      <c r="L297" s="705"/>
      <c r="M297" s="2"/>
      <c r="O297" s="11" t="s">
        <v>114</v>
      </c>
      <c r="P297" s="11" t="s">
        <v>115</v>
      </c>
    </row>
    <row r="298" spans="2:16" x14ac:dyDescent="0.25">
      <c r="B298" s="473"/>
      <c r="C298" s="474"/>
      <c r="D298" s="791"/>
      <c r="E298" s="791"/>
      <c r="F298" s="791"/>
      <c r="G298" s="791"/>
      <c r="H298" s="791"/>
      <c r="I298" s="791"/>
      <c r="J298" s="791"/>
      <c r="K298" s="791"/>
      <c r="L298" s="705"/>
      <c r="M298" s="2"/>
      <c r="O298" s="11"/>
      <c r="P298" s="11"/>
    </row>
    <row r="299" spans="2:16" x14ac:dyDescent="0.25">
      <c r="B299" s="473"/>
      <c r="C299" s="474"/>
      <c r="D299" s="791"/>
      <c r="E299" s="791"/>
      <c r="F299" s="791"/>
      <c r="G299" s="791"/>
      <c r="H299" s="791"/>
      <c r="I299" s="791"/>
      <c r="J299" s="791"/>
      <c r="K299" s="791"/>
      <c r="L299" s="705"/>
      <c r="M299" s="2"/>
      <c r="O299" s="11"/>
      <c r="P299" s="11"/>
    </row>
    <row r="300" spans="2:16" x14ac:dyDescent="0.25">
      <c r="B300" s="473"/>
      <c r="C300" s="474"/>
      <c r="D300" s="791"/>
      <c r="E300" s="791"/>
      <c r="F300" s="791"/>
      <c r="G300" s="791"/>
      <c r="H300" s="791"/>
      <c r="I300" s="791"/>
      <c r="J300" s="791"/>
      <c r="K300" s="791"/>
      <c r="L300" s="705"/>
      <c r="M300" s="2"/>
      <c r="O300" s="11"/>
      <c r="P300" s="11"/>
    </row>
    <row r="301" spans="2:16" x14ac:dyDescent="0.25">
      <c r="B301" s="473"/>
      <c r="C301" s="474"/>
      <c r="D301" s="791"/>
      <c r="E301" s="791"/>
      <c r="F301" s="791"/>
      <c r="G301" s="791"/>
      <c r="H301" s="791"/>
      <c r="I301" s="791"/>
      <c r="J301" s="791"/>
      <c r="K301" s="791"/>
      <c r="L301" s="705"/>
      <c r="M301" s="2"/>
      <c r="O301" s="11"/>
      <c r="P301" s="11"/>
    </row>
    <row r="302" spans="2:16" x14ac:dyDescent="0.25">
      <c r="B302" s="473"/>
      <c r="C302" s="474"/>
      <c r="D302" s="791"/>
      <c r="E302" s="791"/>
      <c r="F302" s="791"/>
      <c r="G302" s="791"/>
      <c r="H302" s="791"/>
      <c r="I302" s="791"/>
      <c r="J302" s="791"/>
      <c r="K302" s="791"/>
      <c r="L302" s="705"/>
      <c r="M302" s="2"/>
      <c r="O302" s="11"/>
      <c r="P302" s="11"/>
    </row>
    <row r="303" spans="2:16" x14ac:dyDescent="0.25">
      <c r="B303" s="473"/>
      <c r="C303" s="474"/>
      <c r="D303" s="791"/>
      <c r="E303" s="791"/>
      <c r="F303" s="791"/>
      <c r="G303" s="791"/>
      <c r="H303" s="791"/>
      <c r="I303" s="791"/>
      <c r="J303" s="791"/>
      <c r="K303" s="791"/>
      <c r="L303" s="705"/>
      <c r="M303" s="2"/>
      <c r="O303" s="11"/>
      <c r="P303" s="11"/>
    </row>
    <row r="304" spans="2:16" x14ac:dyDescent="0.25">
      <c r="B304" s="473"/>
      <c r="C304" s="474"/>
      <c r="D304" s="791"/>
      <c r="E304" s="791"/>
      <c r="F304" s="791"/>
      <c r="G304" s="791"/>
      <c r="H304" s="791"/>
      <c r="I304" s="791"/>
      <c r="J304" s="791"/>
      <c r="K304" s="791"/>
      <c r="L304" s="705"/>
      <c r="M304" s="2"/>
      <c r="O304" s="11"/>
      <c r="P304" s="11"/>
    </row>
    <row r="305" spans="1:16" x14ac:dyDescent="0.25">
      <c r="B305" s="176"/>
      <c r="C305" s="177"/>
      <c r="D305" s="177"/>
      <c r="E305" s="177"/>
      <c r="F305" s="177"/>
      <c r="G305" s="177"/>
      <c r="H305" s="177"/>
      <c r="I305" s="177"/>
      <c r="J305" s="177"/>
      <c r="K305" s="177"/>
      <c r="L305" s="178"/>
      <c r="M305" s="2"/>
    </row>
    <row r="306" spans="1:16" s="3" customFormat="1" x14ac:dyDescent="0.25">
      <c r="A306" s="12"/>
      <c r="B306" s="585" t="s">
        <v>31</v>
      </c>
      <c r="C306" s="586"/>
      <c r="D306" s="586"/>
      <c r="E306" s="586"/>
      <c r="F306" s="586"/>
      <c r="G306" s="586"/>
      <c r="H306" s="586"/>
      <c r="I306" s="586"/>
      <c r="J306" s="586"/>
      <c r="K306" s="586"/>
      <c r="L306" s="587"/>
      <c r="M306" s="168"/>
    </row>
    <row r="307" spans="1:16" x14ac:dyDescent="0.25">
      <c r="B307" s="170"/>
      <c r="C307" s="171"/>
      <c r="D307" s="171"/>
      <c r="E307" s="171"/>
      <c r="F307" s="171"/>
      <c r="G307" s="171"/>
      <c r="H307" s="171"/>
      <c r="I307" s="171"/>
      <c r="J307" s="171"/>
      <c r="K307" s="171"/>
      <c r="L307" s="172"/>
      <c r="M307" s="2"/>
    </row>
    <row r="308" spans="1:16" x14ac:dyDescent="0.25">
      <c r="B308" s="475" t="str">
        <f>IF(Intro!$G$21="English",O308,P308)</f>
        <v>Décrivez les plans de votre entreprise pour gérer le rendement financier des deux prochaines années. Fournissez les motifs et les hypothèses sous-tendant ces objectifs et ces stratégies.</v>
      </c>
      <c r="C308" s="476"/>
      <c r="D308" s="476"/>
      <c r="E308" s="476"/>
      <c r="F308" s="476"/>
      <c r="G308" s="476"/>
      <c r="H308" s="476"/>
      <c r="I308" s="476"/>
      <c r="J308" s="476"/>
      <c r="K308" s="476"/>
      <c r="L308" s="477"/>
      <c r="M308" s="2"/>
      <c r="O308" s="2" t="s">
        <v>386</v>
      </c>
      <c r="P308" s="2" t="s">
        <v>258</v>
      </c>
    </row>
    <row r="309" spans="1:16" x14ac:dyDescent="0.25">
      <c r="B309" s="170"/>
      <c r="C309" s="171"/>
      <c r="D309" s="171"/>
      <c r="E309" s="171"/>
      <c r="F309" s="171"/>
      <c r="G309" s="171"/>
      <c r="H309" s="171"/>
      <c r="I309" s="171"/>
      <c r="J309" s="171"/>
      <c r="K309" s="171"/>
      <c r="L309" s="172"/>
      <c r="M309" s="2"/>
    </row>
    <row r="310" spans="1:16" s="3" customFormat="1" x14ac:dyDescent="0.25">
      <c r="A310" s="12"/>
      <c r="B310" s="582"/>
      <c r="C310" s="583"/>
      <c r="D310" s="583"/>
      <c r="E310" s="583"/>
      <c r="F310" s="583"/>
      <c r="G310" s="583"/>
      <c r="H310" s="583"/>
      <c r="I310" s="583"/>
      <c r="J310" s="583"/>
      <c r="K310" s="583"/>
      <c r="L310" s="584"/>
      <c r="M310" s="152"/>
      <c r="O310" s="154"/>
      <c r="P310" s="154"/>
    </row>
    <row r="311" spans="1:16" s="3" customFormat="1" x14ac:dyDescent="0.25">
      <c r="A311" s="12"/>
      <c r="B311" s="582"/>
      <c r="C311" s="583"/>
      <c r="D311" s="583"/>
      <c r="E311" s="583"/>
      <c r="F311" s="583"/>
      <c r="G311" s="583"/>
      <c r="H311" s="583"/>
      <c r="I311" s="583"/>
      <c r="J311" s="583"/>
      <c r="K311" s="583"/>
      <c r="L311" s="584"/>
      <c r="M311" s="152"/>
      <c r="O311" s="154"/>
      <c r="P311" s="154"/>
    </row>
    <row r="312" spans="1:16" s="3" customFormat="1" x14ac:dyDescent="0.25">
      <c r="A312" s="12"/>
      <c r="B312" s="582"/>
      <c r="C312" s="583"/>
      <c r="D312" s="583"/>
      <c r="E312" s="583"/>
      <c r="F312" s="583"/>
      <c r="G312" s="583"/>
      <c r="H312" s="583"/>
      <c r="I312" s="583"/>
      <c r="J312" s="583"/>
      <c r="K312" s="583"/>
      <c r="L312" s="584"/>
      <c r="M312" s="152"/>
      <c r="O312" s="154"/>
      <c r="P312" s="154"/>
    </row>
    <row r="313" spans="1:16" s="3" customFormat="1" x14ac:dyDescent="0.25">
      <c r="A313" s="12"/>
      <c r="B313" s="582"/>
      <c r="C313" s="583"/>
      <c r="D313" s="583"/>
      <c r="E313" s="583"/>
      <c r="F313" s="583"/>
      <c r="G313" s="583"/>
      <c r="H313" s="583"/>
      <c r="I313" s="583"/>
      <c r="J313" s="583"/>
      <c r="K313" s="583"/>
      <c r="L313" s="584"/>
      <c r="M313" s="152"/>
      <c r="O313" s="154"/>
      <c r="P313" s="154"/>
    </row>
    <row r="314" spans="1:16" s="3" customFormat="1" x14ac:dyDescent="0.25">
      <c r="A314" s="12"/>
      <c r="B314" s="582"/>
      <c r="C314" s="583"/>
      <c r="D314" s="583"/>
      <c r="E314" s="583"/>
      <c r="F314" s="583"/>
      <c r="G314" s="583"/>
      <c r="H314" s="583"/>
      <c r="I314" s="583"/>
      <c r="J314" s="583"/>
      <c r="K314" s="583"/>
      <c r="L314" s="584"/>
      <c r="M314" s="152"/>
      <c r="O314" s="154"/>
      <c r="P314" s="154"/>
    </row>
    <row r="315" spans="1:16" s="3" customFormat="1" x14ac:dyDescent="0.25">
      <c r="A315" s="12"/>
      <c r="B315" s="582"/>
      <c r="C315" s="583"/>
      <c r="D315" s="583"/>
      <c r="E315" s="583"/>
      <c r="F315" s="583"/>
      <c r="G315" s="583"/>
      <c r="H315" s="583"/>
      <c r="I315" s="583"/>
      <c r="J315" s="583"/>
      <c r="K315" s="583"/>
      <c r="L315" s="584"/>
      <c r="M315" s="152"/>
      <c r="O315" s="154"/>
      <c r="P315" s="154"/>
    </row>
    <row r="316" spans="1:16" s="3" customFormat="1" x14ac:dyDescent="0.25">
      <c r="A316" s="12"/>
      <c r="B316" s="582"/>
      <c r="C316" s="583"/>
      <c r="D316" s="583"/>
      <c r="E316" s="583"/>
      <c r="F316" s="583"/>
      <c r="G316" s="583"/>
      <c r="H316" s="583"/>
      <c r="I316" s="583"/>
      <c r="J316" s="583"/>
      <c r="K316" s="583"/>
      <c r="L316" s="584"/>
      <c r="M316" s="152"/>
      <c r="O316" s="154"/>
      <c r="P316" s="154"/>
    </row>
    <row r="317" spans="1:16" s="3" customFormat="1" x14ac:dyDescent="0.25">
      <c r="A317" s="12"/>
      <c r="B317" s="582"/>
      <c r="C317" s="583"/>
      <c r="D317" s="583"/>
      <c r="E317" s="583"/>
      <c r="F317" s="583"/>
      <c r="G317" s="583"/>
      <c r="H317" s="583"/>
      <c r="I317" s="583"/>
      <c r="J317" s="583"/>
      <c r="K317" s="583"/>
      <c r="L317" s="584"/>
      <c r="M317" s="152"/>
      <c r="O317" s="154"/>
      <c r="P317" s="154"/>
    </row>
    <row r="318" spans="1:16" x14ac:dyDescent="0.25">
      <c r="B318" s="176"/>
      <c r="C318" s="177"/>
      <c r="D318" s="177"/>
      <c r="E318" s="177"/>
      <c r="F318" s="177"/>
      <c r="G318" s="177"/>
      <c r="H318" s="177"/>
      <c r="I318" s="177"/>
      <c r="J318" s="177"/>
      <c r="K318" s="177"/>
      <c r="L318" s="178"/>
      <c r="M318" s="2"/>
    </row>
    <row r="319" spans="1:16" x14ac:dyDescent="0.25">
      <c r="B319" s="163"/>
      <c r="C319" s="144"/>
      <c r="D319" s="34"/>
      <c r="E319" s="35"/>
      <c r="F319" s="35"/>
      <c r="G319" s="35"/>
      <c r="H319" s="35"/>
      <c r="I319" s="35"/>
      <c r="J319" s="35"/>
      <c r="K319" s="35"/>
      <c r="L319" s="40"/>
      <c r="M319" s="2"/>
      <c r="O319" s="11"/>
    </row>
    <row r="320" spans="1:16" x14ac:dyDescent="0.25">
      <c r="B320" s="453" t="str">
        <f>IF(Intro!$G$21="English",O320,P320)</f>
        <v>INVESTISSEMENTS</v>
      </c>
      <c r="C320" s="454"/>
      <c r="D320" s="454"/>
      <c r="E320" s="454"/>
      <c r="F320" s="454"/>
      <c r="G320" s="454"/>
      <c r="H320" s="454"/>
      <c r="I320" s="454"/>
      <c r="J320" s="454"/>
      <c r="K320" s="454"/>
      <c r="L320" s="455"/>
      <c r="M320" s="2"/>
      <c r="O320" s="2" t="s">
        <v>78</v>
      </c>
      <c r="P320" s="2" t="s">
        <v>79</v>
      </c>
    </row>
    <row r="321" spans="1:16" s="3" customFormat="1" x14ac:dyDescent="0.25">
      <c r="A321" s="12"/>
      <c r="B321" s="585" t="s">
        <v>33</v>
      </c>
      <c r="C321" s="586"/>
      <c r="D321" s="586"/>
      <c r="E321" s="586"/>
      <c r="F321" s="586"/>
      <c r="G321" s="586"/>
      <c r="H321" s="586"/>
      <c r="I321" s="586"/>
      <c r="J321" s="586"/>
      <c r="K321" s="586"/>
      <c r="L321" s="587"/>
      <c r="M321" s="168"/>
    </row>
    <row r="322" spans="1:16" x14ac:dyDescent="0.25">
      <c r="B322" s="170"/>
      <c r="C322" s="171"/>
      <c r="D322" s="171"/>
      <c r="E322" s="171"/>
      <c r="F322" s="171"/>
      <c r="G322" s="171"/>
      <c r="H322" s="171"/>
      <c r="I322" s="171"/>
      <c r="J322" s="171"/>
      <c r="K322" s="171"/>
      <c r="L322" s="172"/>
      <c r="M322" s="2"/>
    </row>
    <row r="323" spans="1:16" x14ac:dyDescent="0.25">
      <c r="B323" s="579" t="str">
        <f>IF(Intro!$G$21="English",O323,P323)</f>
        <v>Indiquez les investissements antérieurs et prévus de votre entreprise consacrés à ses installations des marchandises pour chaque période indiquée.</v>
      </c>
      <c r="C323" s="580"/>
      <c r="D323" s="580"/>
      <c r="E323" s="580"/>
      <c r="F323" s="580"/>
      <c r="G323" s="580"/>
      <c r="H323" s="580"/>
      <c r="I323" s="580"/>
      <c r="J323" s="580"/>
      <c r="K323" s="580"/>
      <c r="L323" s="581"/>
      <c r="M323" s="2"/>
      <c r="O323" s="2" t="s">
        <v>160</v>
      </c>
      <c r="P323" s="2" t="s">
        <v>161</v>
      </c>
    </row>
    <row r="324" spans="1:16" x14ac:dyDescent="0.25">
      <c r="B324" s="170"/>
      <c r="C324" s="171"/>
      <c r="D324" s="171"/>
      <c r="E324" s="171"/>
      <c r="F324" s="171"/>
      <c r="G324" s="171"/>
      <c r="H324" s="171"/>
      <c r="I324" s="171"/>
      <c r="J324" s="171"/>
      <c r="K324" s="171"/>
      <c r="L324" s="172"/>
      <c r="M324" s="2"/>
    </row>
    <row r="325" spans="1:16" x14ac:dyDescent="0.25">
      <c r="B325" s="159"/>
      <c r="C325" s="160"/>
      <c r="D325" s="25"/>
      <c r="E325" s="209">
        <f>Variables!$B$6</f>
        <v>2023</v>
      </c>
      <c r="F325" s="209">
        <f>E325+1</f>
        <v>2024</v>
      </c>
      <c r="G325" s="209">
        <f t="shared" ref="G325:J325" si="25">F325+1</f>
        <v>2025</v>
      </c>
      <c r="H325" s="209">
        <f t="shared" si="25"/>
        <v>2026</v>
      </c>
      <c r="I325" s="209">
        <f t="shared" si="25"/>
        <v>2027</v>
      </c>
      <c r="J325" s="209">
        <f t="shared" si="25"/>
        <v>2028</v>
      </c>
      <c r="K325" s="174"/>
      <c r="L325" s="175"/>
      <c r="M325" s="2"/>
      <c r="O325" s="11"/>
    </row>
    <row r="326" spans="1:16" x14ac:dyDescent="0.25">
      <c r="B326" s="760" t="str">
        <f>IF(Intro!$G$21="English",O326,P326)</f>
        <v>Investissements</v>
      </c>
      <c r="C326" s="761"/>
      <c r="D326" s="214" t="s">
        <v>563</v>
      </c>
      <c r="E326" s="274"/>
      <c r="F326" s="274"/>
      <c r="G326" s="274"/>
      <c r="H326" s="274"/>
      <c r="I326" s="274"/>
      <c r="J326" s="274"/>
      <c r="K326" s="174"/>
      <c r="L326" s="175"/>
      <c r="M326" s="2"/>
      <c r="O326" s="2" t="s">
        <v>255</v>
      </c>
      <c r="P326" s="2" t="s">
        <v>256</v>
      </c>
    </row>
    <row r="327" spans="1:16" x14ac:dyDescent="0.25">
      <c r="B327" s="176"/>
      <c r="C327" s="177"/>
      <c r="D327" s="177"/>
      <c r="E327" s="177"/>
      <c r="F327" s="177"/>
      <c r="G327" s="177"/>
      <c r="H327" s="177"/>
      <c r="I327" s="177"/>
      <c r="J327" s="177"/>
      <c r="K327" s="177"/>
      <c r="L327" s="178"/>
      <c r="M327" s="2"/>
    </row>
    <row r="328" spans="1:16" s="3" customFormat="1" x14ac:dyDescent="0.25">
      <c r="A328" s="12"/>
      <c r="B328" s="585" t="s">
        <v>34</v>
      </c>
      <c r="C328" s="586"/>
      <c r="D328" s="586"/>
      <c r="E328" s="586"/>
      <c r="F328" s="586"/>
      <c r="G328" s="586"/>
      <c r="H328" s="586"/>
      <c r="I328" s="586"/>
      <c r="J328" s="586"/>
      <c r="K328" s="586"/>
      <c r="L328" s="587"/>
      <c r="M328" s="168"/>
    </row>
    <row r="329" spans="1:16" x14ac:dyDescent="0.25">
      <c r="B329" s="170"/>
      <c r="C329" s="171"/>
      <c r="D329" s="171"/>
      <c r="E329" s="171"/>
      <c r="F329" s="171"/>
      <c r="G329" s="171"/>
      <c r="H329" s="171"/>
      <c r="I329" s="171"/>
      <c r="J329" s="171"/>
      <c r="K329" s="171"/>
      <c r="L329" s="172"/>
      <c r="M329" s="2"/>
    </row>
    <row r="330" spans="1:16" x14ac:dyDescent="0.25">
      <c r="B330" s="475" t="str">
        <f>IF(Intro!$G$21="English",O330,P330)</f>
        <v>Décrivez les principaux investissements antérieurs et prévus de votre entreprise, les installations qui en sont l’objet ou en ont été l’objet et les motifs de ces investissements.</v>
      </c>
      <c r="C330" s="476"/>
      <c r="D330" s="476"/>
      <c r="E330" s="476"/>
      <c r="F330" s="476"/>
      <c r="G330" s="476"/>
      <c r="H330" s="476"/>
      <c r="I330" s="476"/>
      <c r="J330" s="476"/>
      <c r="K330" s="476"/>
      <c r="L330" s="477"/>
      <c r="M330" s="2"/>
      <c r="O330" s="2" t="s">
        <v>162</v>
      </c>
      <c r="P330" s="2" t="s">
        <v>163</v>
      </c>
    </row>
    <row r="331" spans="1:16" x14ac:dyDescent="0.25">
      <c r="B331" s="170"/>
      <c r="C331" s="171"/>
      <c r="D331" s="171"/>
      <c r="E331" s="171"/>
      <c r="F331" s="171"/>
      <c r="G331" s="171"/>
      <c r="H331" s="171"/>
      <c r="I331" s="171"/>
      <c r="J331" s="171"/>
      <c r="K331" s="171"/>
      <c r="L331" s="172"/>
      <c r="M331" s="2"/>
    </row>
    <row r="332" spans="1:16" s="3" customFormat="1" x14ac:dyDescent="0.25">
      <c r="A332" s="12"/>
      <c r="B332" s="582"/>
      <c r="C332" s="583"/>
      <c r="D332" s="583"/>
      <c r="E332" s="583"/>
      <c r="F332" s="583"/>
      <c r="G332" s="583"/>
      <c r="H332" s="583"/>
      <c r="I332" s="583"/>
      <c r="J332" s="583"/>
      <c r="K332" s="583"/>
      <c r="L332" s="584"/>
      <c r="M332" s="152"/>
      <c r="O332" s="154"/>
      <c r="P332" s="154"/>
    </row>
    <row r="333" spans="1:16" s="3" customFormat="1" x14ac:dyDescent="0.25">
      <c r="A333" s="12"/>
      <c r="B333" s="582"/>
      <c r="C333" s="583"/>
      <c r="D333" s="583"/>
      <c r="E333" s="583"/>
      <c r="F333" s="583"/>
      <c r="G333" s="583"/>
      <c r="H333" s="583"/>
      <c r="I333" s="583"/>
      <c r="J333" s="583"/>
      <c r="K333" s="583"/>
      <c r="L333" s="584"/>
      <c r="M333" s="152"/>
      <c r="O333" s="154"/>
      <c r="P333" s="154"/>
    </row>
    <row r="334" spans="1:16" s="3" customFormat="1" x14ac:dyDescent="0.25">
      <c r="A334" s="12"/>
      <c r="B334" s="582"/>
      <c r="C334" s="583"/>
      <c r="D334" s="583"/>
      <c r="E334" s="583"/>
      <c r="F334" s="583"/>
      <c r="G334" s="583"/>
      <c r="H334" s="583"/>
      <c r="I334" s="583"/>
      <c r="J334" s="583"/>
      <c r="K334" s="583"/>
      <c r="L334" s="584"/>
      <c r="M334" s="152"/>
      <c r="O334" s="154"/>
      <c r="P334" s="154"/>
    </row>
    <row r="335" spans="1:16" s="3" customFormat="1" x14ac:dyDescent="0.25">
      <c r="A335" s="12"/>
      <c r="B335" s="582"/>
      <c r="C335" s="583"/>
      <c r="D335" s="583"/>
      <c r="E335" s="583"/>
      <c r="F335" s="583"/>
      <c r="G335" s="583"/>
      <c r="H335" s="583"/>
      <c r="I335" s="583"/>
      <c r="J335" s="583"/>
      <c r="K335" s="583"/>
      <c r="L335" s="584"/>
      <c r="M335" s="152"/>
      <c r="O335" s="154"/>
      <c r="P335" s="154"/>
    </row>
    <row r="336" spans="1:16" s="3" customFormat="1" x14ac:dyDescent="0.25">
      <c r="A336" s="12"/>
      <c r="B336" s="582"/>
      <c r="C336" s="583"/>
      <c r="D336" s="583"/>
      <c r="E336" s="583"/>
      <c r="F336" s="583"/>
      <c r="G336" s="583"/>
      <c r="H336" s="583"/>
      <c r="I336" s="583"/>
      <c r="J336" s="583"/>
      <c r="K336" s="583"/>
      <c r="L336" s="584"/>
      <c r="M336" s="152"/>
      <c r="O336" s="154"/>
      <c r="P336" s="154"/>
    </row>
    <row r="337" spans="1:16" s="3" customFormat="1" x14ac:dyDescent="0.25">
      <c r="A337" s="12"/>
      <c r="B337" s="582"/>
      <c r="C337" s="583"/>
      <c r="D337" s="583"/>
      <c r="E337" s="583"/>
      <c r="F337" s="583"/>
      <c r="G337" s="583"/>
      <c r="H337" s="583"/>
      <c r="I337" s="583"/>
      <c r="J337" s="583"/>
      <c r="K337" s="583"/>
      <c r="L337" s="584"/>
      <c r="M337" s="152"/>
      <c r="O337" s="154"/>
      <c r="P337" s="154"/>
    </row>
    <row r="338" spans="1:16" s="3" customFormat="1" x14ac:dyDescent="0.25">
      <c r="A338" s="12"/>
      <c r="B338" s="582"/>
      <c r="C338" s="583"/>
      <c r="D338" s="583"/>
      <c r="E338" s="583"/>
      <c r="F338" s="583"/>
      <c r="G338" s="583"/>
      <c r="H338" s="583"/>
      <c r="I338" s="583"/>
      <c r="J338" s="583"/>
      <c r="K338" s="583"/>
      <c r="L338" s="584"/>
      <c r="M338" s="152"/>
      <c r="O338" s="154"/>
      <c r="P338" s="154"/>
    </row>
    <row r="339" spans="1:16" s="3" customFormat="1" x14ac:dyDescent="0.25">
      <c r="A339" s="12"/>
      <c r="B339" s="582"/>
      <c r="C339" s="583"/>
      <c r="D339" s="583"/>
      <c r="E339" s="583"/>
      <c r="F339" s="583"/>
      <c r="G339" s="583"/>
      <c r="H339" s="583"/>
      <c r="I339" s="583"/>
      <c r="J339" s="583"/>
      <c r="K339" s="583"/>
      <c r="L339" s="584"/>
      <c r="M339" s="152"/>
      <c r="O339" s="154"/>
      <c r="P339" s="154"/>
    </row>
    <row r="340" spans="1:16" x14ac:dyDescent="0.25">
      <c r="B340" s="176"/>
      <c r="C340" s="177"/>
      <c r="D340" s="177"/>
      <c r="E340" s="177"/>
      <c r="F340" s="177"/>
      <c r="G340" s="177"/>
      <c r="H340" s="177"/>
      <c r="I340" s="177"/>
      <c r="J340" s="177"/>
      <c r="K340" s="177"/>
      <c r="L340" s="178"/>
      <c r="M340" s="2"/>
    </row>
    <row r="341" spans="1:16" s="3" customFormat="1" x14ac:dyDescent="0.25">
      <c r="A341" s="12"/>
      <c r="B341" s="585" t="s">
        <v>35</v>
      </c>
      <c r="C341" s="586"/>
      <c r="D341" s="586"/>
      <c r="E341" s="586"/>
      <c r="F341" s="586"/>
      <c r="G341" s="586"/>
      <c r="H341" s="586"/>
      <c r="I341" s="586"/>
      <c r="J341" s="586"/>
      <c r="K341" s="586"/>
      <c r="L341" s="587"/>
      <c r="M341" s="168"/>
    </row>
    <row r="342" spans="1:16" x14ac:dyDescent="0.25">
      <c r="B342" s="170"/>
      <c r="C342" s="171"/>
      <c r="D342" s="171"/>
      <c r="E342" s="171"/>
      <c r="F342" s="171"/>
      <c r="G342" s="171"/>
      <c r="H342" s="171"/>
      <c r="I342" s="171"/>
      <c r="J342" s="171"/>
      <c r="K342" s="171"/>
      <c r="L342" s="172"/>
      <c r="M342" s="2"/>
    </row>
    <row r="343" spans="1:16" x14ac:dyDescent="0.25">
      <c r="B343" s="579" t="str">
        <f>IF(Intro!$G$21="English",O343,P343)</f>
        <v>Décrivez l’incidence des investissements faits par votre entreprise depuis le 1er janvier 2023 sur les aspects suivants :</v>
      </c>
      <c r="C343" s="580"/>
      <c r="D343" s="580"/>
      <c r="E343" s="580"/>
      <c r="F343" s="580"/>
      <c r="G343" s="580"/>
      <c r="H343" s="580"/>
      <c r="I343" s="580"/>
      <c r="J343" s="580"/>
      <c r="K343" s="580"/>
      <c r="L343" s="581"/>
      <c r="M343" s="2"/>
      <c r="O343" s="2" t="str">
        <f>"Describe the impact of investments made by your firm since January 1, "&amp;Variables!B6&amp;" on the following:"</f>
        <v>Describe the impact of investments made by your firm since January 1, 2023 on the following:</v>
      </c>
      <c r="P343"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44" spans="1:16" x14ac:dyDescent="0.25">
      <c r="B344" s="170"/>
      <c r="C344" s="171"/>
      <c r="D344" s="171"/>
      <c r="E344" s="171"/>
      <c r="F344" s="171"/>
      <c r="G344" s="171"/>
      <c r="H344" s="171"/>
      <c r="I344" s="171"/>
      <c r="J344" s="171"/>
      <c r="K344" s="171"/>
      <c r="L344" s="172"/>
      <c r="M344" s="2"/>
    </row>
    <row r="345" spans="1:16" x14ac:dyDescent="0.25">
      <c r="B345" s="473" t="str">
        <f>IF(Intro!$G$21="English",O345,P345)</f>
        <v>Productivité</v>
      </c>
      <c r="C345" s="474"/>
      <c r="D345" s="791"/>
      <c r="E345" s="791"/>
      <c r="F345" s="791"/>
      <c r="G345" s="791"/>
      <c r="H345" s="791"/>
      <c r="I345" s="791"/>
      <c r="J345" s="791"/>
      <c r="K345" s="791"/>
      <c r="L345" s="705"/>
      <c r="M345" s="2"/>
      <c r="O345" s="11" t="s">
        <v>80</v>
      </c>
      <c r="P345" s="11" t="s">
        <v>81</v>
      </c>
    </row>
    <row r="346" spans="1:16" s="3" customFormat="1" x14ac:dyDescent="0.25">
      <c r="A346" s="12"/>
      <c r="B346" s="473"/>
      <c r="C346" s="474"/>
      <c r="D346" s="791"/>
      <c r="E346" s="791"/>
      <c r="F346" s="791"/>
      <c r="G346" s="791"/>
      <c r="H346" s="791"/>
      <c r="I346" s="791"/>
      <c r="J346" s="791"/>
      <c r="K346" s="791"/>
      <c r="L346" s="705"/>
      <c r="M346" s="152"/>
      <c r="O346" s="154"/>
      <c r="P346" s="154"/>
    </row>
    <row r="347" spans="1:16" s="3" customFormat="1" x14ac:dyDescent="0.25">
      <c r="A347" s="12"/>
      <c r="B347" s="473"/>
      <c r="C347" s="474"/>
      <c r="D347" s="791"/>
      <c r="E347" s="791"/>
      <c r="F347" s="791"/>
      <c r="G347" s="791"/>
      <c r="H347" s="791"/>
      <c r="I347" s="791"/>
      <c r="J347" s="791"/>
      <c r="K347" s="791"/>
      <c r="L347" s="705"/>
      <c r="M347" s="152"/>
      <c r="O347" s="154"/>
      <c r="P347" s="154"/>
    </row>
    <row r="348" spans="1:16" s="3" customFormat="1" x14ac:dyDescent="0.25">
      <c r="A348" s="12"/>
      <c r="B348" s="473"/>
      <c r="C348" s="474"/>
      <c r="D348" s="791"/>
      <c r="E348" s="791"/>
      <c r="F348" s="791"/>
      <c r="G348" s="791"/>
      <c r="H348" s="791"/>
      <c r="I348" s="791"/>
      <c r="J348" s="791"/>
      <c r="K348" s="791"/>
      <c r="L348" s="705"/>
      <c r="M348" s="152"/>
      <c r="O348" s="154"/>
      <c r="P348" s="154"/>
    </row>
    <row r="349" spans="1:16" s="3" customFormat="1" x14ac:dyDescent="0.25">
      <c r="A349" s="12"/>
      <c r="B349" s="473"/>
      <c r="C349" s="474"/>
      <c r="D349" s="791"/>
      <c r="E349" s="791"/>
      <c r="F349" s="791"/>
      <c r="G349" s="791"/>
      <c r="H349" s="791"/>
      <c r="I349" s="791"/>
      <c r="J349" s="791"/>
      <c r="K349" s="791"/>
      <c r="L349" s="705"/>
      <c r="M349" s="152"/>
      <c r="O349" s="154"/>
      <c r="P349" s="154"/>
    </row>
    <row r="350" spans="1:16" x14ac:dyDescent="0.25">
      <c r="B350" s="473"/>
      <c r="C350" s="474"/>
      <c r="D350" s="791"/>
      <c r="E350" s="791"/>
      <c r="F350" s="791"/>
      <c r="G350" s="791"/>
      <c r="H350" s="791"/>
      <c r="I350" s="791"/>
      <c r="J350" s="791"/>
      <c r="K350" s="791"/>
      <c r="L350" s="705"/>
      <c r="M350" s="2"/>
    </row>
    <row r="351" spans="1:16" x14ac:dyDescent="0.25">
      <c r="B351" s="473"/>
      <c r="C351" s="474"/>
      <c r="D351" s="791"/>
      <c r="E351" s="791"/>
      <c r="F351" s="791"/>
      <c r="G351" s="791"/>
      <c r="H351" s="791"/>
      <c r="I351" s="791"/>
      <c r="J351" s="791"/>
      <c r="K351" s="791"/>
      <c r="L351" s="705"/>
      <c r="M351" s="2"/>
    </row>
    <row r="352" spans="1:16" x14ac:dyDescent="0.25">
      <c r="B352" s="473"/>
      <c r="C352" s="474"/>
      <c r="D352" s="791"/>
      <c r="E352" s="791"/>
      <c r="F352" s="791"/>
      <c r="G352" s="791"/>
      <c r="H352" s="791"/>
      <c r="I352" s="791"/>
      <c r="J352" s="791"/>
      <c r="K352" s="791"/>
      <c r="L352" s="705"/>
      <c r="M352" s="2"/>
      <c r="O352" s="11"/>
      <c r="P352" s="11"/>
    </row>
    <row r="353" spans="1:16" x14ac:dyDescent="0.25">
      <c r="B353" s="473"/>
      <c r="C353" s="474"/>
      <c r="D353" s="791"/>
      <c r="E353" s="791"/>
      <c r="F353" s="791"/>
      <c r="G353" s="791"/>
      <c r="H353" s="791"/>
      <c r="I353" s="791"/>
      <c r="J353" s="791"/>
      <c r="K353" s="791"/>
      <c r="L353" s="705"/>
      <c r="M353" s="2"/>
      <c r="O353" s="11"/>
      <c r="P353" s="11"/>
    </row>
    <row r="354" spans="1:16" x14ac:dyDescent="0.25">
      <c r="B354" s="473"/>
      <c r="C354" s="474"/>
      <c r="D354" s="791"/>
      <c r="E354" s="791"/>
      <c r="F354" s="791"/>
      <c r="G354" s="791"/>
      <c r="H354" s="791"/>
      <c r="I354" s="791"/>
      <c r="J354" s="791"/>
      <c r="K354" s="791"/>
      <c r="L354" s="705"/>
      <c r="M354" s="2"/>
      <c r="O354" s="11"/>
      <c r="P354" s="11"/>
    </row>
    <row r="355" spans="1:16" x14ac:dyDescent="0.25">
      <c r="B355" s="473" t="str">
        <f>IF(Intro!$G$21="English",O355,P355)</f>
        <v>Emplois</v>
      </c>
      <c r="C355" s="474"/>
      <c r="D355" s="791"/>
      <c r="E355" s="791"/>
      <c r="F355" s="791"/>
      <c r="G355" s="791"/>
      <c r="H355" s="791"/>
      <c r="I355" s="791"/>
      <c r="J355" s="791"/>
      <c r="K355" s="791"/>
      <c r="L355" s="705"/>
      <c r="M355" s="2"/>
      <c r="O355" s="11" t="s">
        <v>82</v>
      </c>
      <c r="P355" s="11" t="s">
        <v>83</v>
      </c>
    </row>
    <row r="356" spans="1:16" x14ac:dyDescent="0.25">
      <c r="B356" s="473"/>
      <c r="C356" s="474"/>
      <c r="D356" s="791"/>
      <c r="E356" s="791"/>
      <c r="F356" s="791"/>
      <c r="G356" s="791"/>
      <c r="H356" s="791"/>
      <c r="I356" s="791"/>
      <c r="J356" s="791"/>
      <c r="K356" s="791"/>
      <c r="L356" s="705"/>
      <c r="M356" s="2"/>
      <c r="O356" s="11"/>
      <c r="P356" s="11"/>
    </row>
    <row r="357" spans="1:16" s="3" customFormat="1" x14ac:dyDescent="0.25">
      <c r="A357" s="12"/>
      <c r="B357" s="473"/>
      <c r="C357" s="474"/>
      <c r="D357" s="791"/>
      <c r="E357" s="791"/>
      <c r="F357" s="791"/>
      <c r="G357" s="791"/>
      <c r="H357" s="791"/>
      <c r="I357" s="791"/>
      <c r="J357" s="791"/>
      <c r="K357" s="791"/>
      <c r="L357" s="705"/>
      <c r="M357" s="152"/>
      <c r="O357" s="154"/>
      <c r="P357" s="154"/>
    </row>
    <row r="358" spans="1:16" s="3" customFormat="1" x14ac:dyDescent="0.25">
      <c r="A358" s="12"/>
      <c r="B358" s="473"/>
      <c r="C358" s="474"/>
      <c r="D358" s="791"/>
      <c r="E358" s="791"/>
      <c r="F358" s="791"/>
      <c r="G358" s="791"/>
      <c r="H358" s="791"/>
      <c r="I358" s="791"/>
      <c r="J358" s="791"/>
      <c r="K358" s="791"/>
      <c r="L358" s="705"/>
      <c r="M358" s="152"/>
      <c r="O358" s="154"/>
      <c r="P358" s="154"/>
    </row>
    <row r="359" spans="1:16" s="3" customFormat="1" x14ac:dyDescent="0.25">
      <c r="A359" s="12"/>
      <c r="B359" s="473"/>
      <c r="C359" s="474"/>
      <c r="D359" s="791"/>
      <c r="E359" s="791"/>
      <c r="F359" s="791"/>
      <c r="G359" s="791"/>
      <c r="H359" s="791"/>
      <c r="I359" s="791"/>
      <c r="J359" s="791"/>
      <c r="K359" s="791"/>
      <c r="L359" s="705"/>
      <c r="M359" s="152"/>
      <c r="O359" s="154"/>
      <c r="P359" s="154"/>
    </row>
    <row r="360" spans="1:16" s="3" customFormat="1" x14ac:dyDescent="0.25">
      <c r="A360" s="12"/>
      <c r="B360" s="473"/>
      <c r="C360" s="474"/>
      <c r="D360" s="791"/>
      <c r="E360" s="791"/>
      <c r="F360" s="791"/>
      <c r="G360" s="791"/>
      <c r="H360" s="791"/>
      <c r="I360" s="791"/>
      <c r="J360" s="791"/>
      <c r="K360" s="791"/>
      <c r="L360" s="705"/>
      <c r="M360" s="152"/>
      <c r="O360" s="154"/>
      <c r="P360" s="154"/>
    </row>
    <row r="361" spans="1:16" x14ac:dyDescent="0.25">
      <c r="B361" s="473"/>
      <c r="C361" s="474"/>
      <c r="D361" s="791"/>
      <c r="E361" s="791"/>
      <c r="F361" s="791"/>
      <c r="G361" s="791"/>
      <c r="H361" s="791"/>
      <c r="I361" s="791"/>
      <c r="J361" s="791"/>
      <c r="K361" s="791"/>
      <c r="L361" s="705"/>
      <c r="M361" s="2"/>
      <c r="O361" s="11"/>
      <c r="P361" s="11"/>
    </row>
    <row r="362" spans="1:16" x14ac:dyDescent="0.25">
      <c r="B362" s="473"/>
      <c r="C362" s="474"/>
      <c r="D362" s="791"/>
      <c r="E362" s="791"/>
      <c r="F362" s="791"/>
      <c r="G362" s="791"/>
      <c r="H362" s="791"/>
      <c r="I362" s="791"/>
      <c r="J362" s="791"/>
      <c r="K362" s="791"/>
      <c r="L362" s="705"/>
      <c r="M362" s="2"/>
      <c r="O362" s="11"/>
      <c r="P362" s="11"/>
    </row>
    <row r="363" spans="1:16" x14ac:dyDescent="0.25">
      <c r="B363" s="473"/>
      <c r="C363" s="474"/>
      <c r="D363" s="791"/>
      <c r="E363" s="791"/>
      <c r="F363" s="791"/>
      <c r="G363" s="791"/>
      <c r="H363" s="791"/>
      <c r="I363" s="791"/>
      <c r="J363" s="791"/>
      <c r="K363" s="791"/>
      <c r="L363" s="705"/>
      <c r="M363" s="2"/>
      <c r="O363" s="11"/>
      <c r="P363" s="11"/>
    </row>
    <row r="364" spans="1:16" x14ac:dyDescent="0.25">
      <c r="B364" s="473"/>
      <c r="C364" s="474"/>
      <c r="D364" s="791"/>
      <c r="E364" s="791"/>
      <c r="F364" s="791"/>
      <c r="G364" s="791"/>
      <c r="H364" s="791"/>
      <c r="I364" s="791"/>
      <c r="J364" s="791"/>
      <c r="K364" s="791"/>
      <c r="L364" s="705"/>
      <c r="M364" s="2"/>
      <c r="O364" s="11"/>
      <c r="P364" s="11"/>
    </row>
    <row r="365" spans="1:16" x14ac:dyDescent="0.25">
      <c r="B365" s="473" t="str">
        <f>IF(Intro!$G$21="English",O365,P365)</f>
        <v>Salaires</v>
      </c>
      <c r="C365" s="474"/>
      <c r="D365" s="791"/>
      <c r="E365" s="791"/>
      <c r="F365" s="791"/>
      <c r="G365" s="791"/>
      <c r="H365" s="791"/>
      <c r="I365" s="791"/>
      <c r="J365" s="791"/>
      <c r="K365" s="791"/>
      <c r="L365" s="705"/>
      <c r="M365" s="2"/>
      <c r="O365" s="11" t="s">
        <v>84</v>
      </c>
      <c r="P365" s="11" t="s">
        <v>85</v>
      </c>
    </row>
    <row r="366" spans="1:16" x14ac:dyDescent="0.25">
      <c r="B366" s="473"/>
      <c r="C366" s="474"/>
      <c r="D366" s="791"/>
      <c r="E366" s="791"/>
      <c r="F366" s="791"/>
      <c r="G366" s="791"/>
      <c r="H366" s="791"/>
      <c r="I366" s="791"/>
      <c r="J366" s="791"/>
      <c r="K366" s="791"/>
      <c r="L366" s="705"/>
      <c r="M366" s="2"/>
      <c r="O366" s="11"/>
      <c r="P366" s="11"/>
    </row>
    <row r="367" spans="1:16" s="3" customFormat="1" x14ac:dyDescent="0.25">
      <c r="A367" s="12"/>
      <c r="B367" s="473"/>
      <c r="C367" s="474"/>
      <c r="D367" s="791"/>
      <c r="E367" s="791"/>
      <c r="F367" s="791"/>
      <c r="G367" s="791"/>
      <c r="H367" s="791"/>
      <c r="I367" s="791"/>
      <c r="J367" s="791"/>
      <c r="K367" s="791"/>
      <c r="L367" s="705"/>
      <c r="M367" s="152"/>
      <c r="O367" s="154"/>
      <c r="P367" s="154"/>
    </row>
    <row r="368" spans="1:16" s="3" customFormat="1" x14ac:dyDescent="0.25">
      <c r="A368" s="12"/>
      <c r="B368" s="473"/>
      <c r="C368" s="474"/>
      <c r="D368" s="791"/>
      <c r="E368" s="791"/>
      <c r="F368" s="791"/>
      <c r="G368" s="791"/>
      <c r="H368" s="791"/>
      <c r="I368" s="791"/>
      <c r="J368" s="791"/>
      <c r="K368" s="791"/>
      <c r="L368" s="705"/>
      <c r="M368" s="152"/>
      <c r="O368" s="154"/>
      <c r="P368" s="154"/>
    </row>
    <row r="369" spans="1:16" s="3" customFormat="1" x14ac:dyDescent="0.25">
      <c r="A369" s="12"/>
      <c r="B369" s="473"/>
      <c r="C369" s="474"/>
      <c r="D369" s="791"/>
      <c r="E369" s="791"/>
      <c r="F369" s="791"/>
      <c r="G369" s="791"/>
      <c r="H369" s="791"/>
      <c r="I369" s="791"/>
      <c r="J369" s="791"/>
      <c r="K369" s="791"/>
      <c r="L369" s="705"/>
      <c r="M369" s="152"/>
      <c r="O369" s="154"/>
      <c r="P369" s="154"/>
    </row>
    <row r="370" spans="1:16" s="3" customFormat="1" x14ac:dyDescent="0.25">
      <c r="A370" s="12"/>
      <c r="B370" s="473"/>
      <c r="C370" s="474"/>
      <c r="D370" s="791"/>
      <c r="E370" s="791"/>
      <c r="F370" s="791"/>
      <c r="G370" s="791"/>
      <c r="H370" s="791"/>
      <c r="I370" s="791"/>
      <c r="J370" s="791"/>
      <c r="K370" s="791"/>
      <c r="L370" s="705"/>
      <c r="M370" s="152"/>
      <c r="O370" s="154"/>
      <c r="P370" s="154"/>
    </row>
    <row r="371" spans="1:16" x14ac:dyDescent="0.25">
      <c r="B371" s="473"/>
      <c r="C371" s="474"/>
      <c r="D371" s="791"/>
      <c r="E371" s="791"/>
      <c r="F371" s="791"/>
      <c r="G371" s="791"/>
      <c r="H371" s="791"/>
      <c r="I371" s="791"/>
      <c r="J371" s="791"/>
      <c r="K371" s="791"/>
      <c r="L371" s="705"/>
      <c r="M371" s="2"/>
      <c r="O371" s="11"/>
      <c r="P371" s="11"/>
    </row>
    <row r="372" spans="1:16" x14ac:dyDescent="0.25">
      <c r="B372" s="473"/>
      <c r="C372" s="474"/>
      <c r="D372" s="791"/>
      <c r="E372" s="791"/>
      <c r="F372" s="791"/>
      <c r="G372" s="791"/>
      <c r="H372" s="791"/>
      <c r="I372" s="791"/>
      <c r="J372" s="791"/>
      <c r="K372" s="791"/>
      <c r="L372" s="705"/>
      <c r="M372" s="2"/>
      <c r="O372" s="11"/>
      <c r="P372" s="11"/>
    </row>
    <row r="373" spans="1:16" x14ac:dyDescent="0.25">
      <c r="B373" s="473"/>
      <c r="C373" s="474"/>
      <c r="D373" s="791"/>
      <c r="E373" s="791"/>
      <c r="F373" s="791"/>
      <c r="G373" s="791"/>
      <c r="H373" s="791"/>
      <c r="I373" s="791"/>
      <c r="J373" s="791"/>
      <c r="K373" s="791"/>
      <c r="L373" s="705"/>
      <c r="M373" s="2"/>
      <c r="O373" s="11"/>
      <c r="P373" s="11"/>
    </row>
    <row r="374" spans="1:16" x14ac:dyDescent="0.25">
      <c r="B374" s="789"/>
      <c r="C374" s="790"/>
      <c r="D374" s="792"/>
      <c r="E374" s="792"/>
      <c r="F374" s="792"/>
      <c r="G374" s="792"/>
      <c r="H374" s="792"/>
      <c r="I374" s="792"/>
      <c r="J374" s="792"/>
      <c r="K374" s="792"/>
      <c r="L374" s="793"/>
      <c r="M374" s="2"/>
      <c r="O374" s="11"/>
      <c r="P374" s="11"/>
    </row>
    <row r="375" spans="1:16" s="156" customFormat="1" x14ac:dyDescent="0.25">
      <c r="A375" s="180"/>
      <c r="B375" s="13"/>
      <c r="C375" s="13"/>
      <c r="D375" s="181"/>
      <c r="E375" s="181"/>
      <c r="F375" s="181"/>
      <c r="G375" s="181"/>
      <c r="H375" s="181"/>
      <c r="I375" s="181"/>
      <c r="J375" s="181"/>
      <c r="K375" s="181"/>
      <c r="L375" s="181"/>
      <c r="N375" s="182"/>
    </row>
    <row r="376" spans="1:16" x14ac:dyDescent="0.25">
      <c r="B376" s="453" t="str">
        <f>IF(Intro!$G$21="English",O376,P376)</f>
        <v>ÉTAT DES RÉSULTATS - POUR L'ENSEMBLE DE L'ENTREPRISE</v>
      </c>
      <c r="C376" s="454"/>
      <c r="D376" s="454"/>
      <c r="E376" s="454"/>
      <c r="F376" s="454"/>
      <c r="G376" s="454"/>
      <c r="H376" s="454"/>
      <c r="I376" s="454"/>
      <c r="J376" s="454"/>
      <c r="K376" s="454"/>
      <c r="L376" s="455"/>
      <c r="M376" s="2"/>
      <c r="O376" s="2" t="s">
        <v>846</v>
      </c>
      <c r="P376" s="2" t="s">
        <v>847</v>
      </c>
    </row>
    <row r="377" spans="1:16" x14ac:dyDescent="0.25">
      <c r="B377" s="592" t="s">
        <v>36</v>
      </c>
      <c r="C377" s="593"/>
      <c r="D377" s="593"/>
      <c r="E377" s="593"/>
      <c r="F377" s="593"/>
      <c r="G377" s="593"/>
      <c r="H377" s="593"/>
      <c r="I377" s="593"/>
      <c r="J377" s="593"/>
      <c r="K377" s="593"/>
      <c r="L377" s="594"/>
      <c r="M377" s="2"/>
    </row>
    <row r="378" spans="1:16" x14ac:dyDescent="0.25">
      <c r="B378" s="24"/>
      <c r="C378" s="25"/>
      <c r="D378" s="25"/>
      <c r="E378" s="26"/>
      <c r="F378" s="26"/>
      <c r="G378" s="26"/>
      <c r="H378" s="26"/>
      <c r="I378" s="26"/>
      <c r="J378" s="26"/>
      <c r="K378" s="26"/>
      <c r="L378" s="27"/>
      <c r="M378" s="2"/>
    </row>
    <row r="379" spans="1:16" x14ac:dyDescent="0.25">
      <c r="B379" s="456" t="str">
        <f>IF(Intro!$G$21="English",O379,P379)</f>
        <v>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v>
      </c>
      <c r="C379" s="457"/>
      <c r="D379" s="457"/>
      <c r="E379" s="457"/>
      <c r="F379" s="457"/>
      <c r="G379" s="457"/>
      <c r="H379" s="457"/>
      <c r="I379" s="457"/>
      <c r="J379" s="457"/>
      <c r="K379" s="457"/>
      <c r="L379" s="458"/>
      <c r="M379" s="2"/>
      <c r="O379" s="11" t="s">
        <v>205</v>
      </c>
      <c r="P379" s="2" t="s">
        <v>206</v>
      </c>
    </row>
    <row r="380" spans="1:16" x14ac:dyDescent="0.25">
      <c r="B380" s="456"/>
      <c r="C380" s="457"/>
      <c r="D380" s="457"/>
      <c r="E380" s="457"/>
      <c r="F380" s="457"/>
      <c r="G380" s="457"/>
      <c r="H380" s="457"/>
      <c r="I380" s="457"/>
      <c r="J380" s="457"/>
      <c r="K380" s="457"/>
      <c r="L380" s="458"/>
      <c r="M380" s="2"/>
      <c r="O380" s="11"/>
    </row>
    <row r="381" spans="1:16" x14ac:dyDescent="0.25">
      <c r="B381" s="159"/>
      <c r="C381" s="160"/>
      <c r="D381" s="25"/>
      <c r="E381" s="26"/>
      <c r="F381" s="26"/>
      <c r="G381" s="26"/>
      <c r="H381" s="26"/>
      <c r="I381" s="26"/>
      <c r="J381" s="26"/>
      <c r="K381" s="26"/>
      <c r="L381" s="27"/>
      <c r="M381" s="2"/>
      <c r="O381" s="11"/>
    </row>
    <row r="382" spans="1:16" x14ac:dyDescent="0.25">
      <c r="B382" s="159"/>
      <c r="C382" s="160"/>
      <c r="D382" s="25"/>
      <c r="E382" s="2"/>
      <c r="F382" s="2"/>
      <c r="G382" s="663">
        <f>Variables!$B$6</f>
        <v>2023</v>
      </c>
      <c r="H382" s="663">
        <f>G382+1</f>
        <v>2024</v>
      </c>
      <c r="I382" s="663">
        <f>H382+1</f>
        <v>2025</v>
      </c>
      <c r="J382" s="663" t="str">
        <f>IF(Intro!$G$21="English",Variables!B9,Variables!C9)</f>
        <v>janv- mars 2025</v>
      </c>
      <c r="K382" s="663" t="str">
        <f>IF(Intro!$G$21="English",Variables!B10,Variables!C10)</f>
        <v>janv- mars 2026</v>
      </c>
      <c r="L382" s="179"/>
      <c r="M382" s="2"/>
      <c r="O382" s="11"/>
    </row>
    <row r="383" spans="1:16" x14ac:dyDescent="0.25">
      <c r="B383" s="159"/>
      <c r="C383" s="160"/>
      <c r="D383" s="25"/>
      <c r="E383" s="2"/>
      <c r="F383" s="2"/>
      <c r="G383" s="663"/>
      <c r="H383" s="663"/>
      <c r="I383" s="663"/>
      <c r="J383" s="663"/>
      <c r="K383" s="663"/>
      <c r="L383" s="179"/>
      <c r="M383" s="2"/>
      <c r="O383" s="11"/>
    </row>
    <row r="384" spans="1:16" x14ac:dyDescent="0.25">
      <c r="B384" s="746" t="str">
        <f>IF(Intro!$G$21="English",O384,P384)</f>
        <v>Valeur de vente nette</v>
      </c>
      <c r="C384" s="747"/>
      <c r="D384" s="747"/>
      <c r="E384" s="748"/>
      <c r="F384" s="214" t="s">
        <v>563</v>
      </c>
      <c r="G384" s="274"/>
      <c r="H384" s="274"/>
      <c r="I384" s="274"/>
      <c r="J384" s="274"/>
      <c r="K384" s="274"/>
      <c r="L384" s="179"/>
      <c r="M384" s="2"/>
      <c r="O384" s="2" t="s">
        <v>46</v>
      </c>
      <c r="P384" s="2" t="s">
        <v>71</v>
      </c>
    </row>
    <row r="385" spans="1:16" x14ac:dyDescent="0.25">
      <c r="B385" s="746" t="str">
        <f>IF(Intro!$G$21="English",O385,P385)</f>
        <v>Coût des marchandises vendues</v>
      </c>
      <c r="C385" s="747"/>
      <c r="D385" s="747"/>
      <c r="E385" s="748"/>
      <c r="F385" s="214" t="s">
        <v>563</v>
      </c>
      <c r="G385" s="274"/>
      <c r="H385" s="274"/>
      <c r="I385" s="274"/>
      <c r="J385" s="274"/>
      <c r="K385" s="274"/>
      <c r="L385" s="179"/>
      <c r="M385" s="2"/>
      <c r="O385" s="2" t="s">
        <v>47</v>
      </c>
      <c r="P385" s="2" t="s">
        <v>48</v>
      </c>
    </row>
    <row r="386" spans="1:16" s="3" customFormat="1" x14ac:dyDescent="0.25">
      <c r="A386" s="18"/>
      <c r="B386" s="764" t="str">
        <f>IF(Intro!$G$21="English",O386,P386)</f>
        <v>Marge bénéficiaire brute (perte brute)</v>
      </c>
      <c r="C386" s="765"/>
      <c r="D386" s="765"/>
      <c r="E386" s="766"/>
      <c r="F386" s="214" t="s">
        <v>563</v>
      </c>
      <c r="G386" s="282">
        <f>G384-G385</f>
        <v>0</v>
      </c>
      <c r="H386" s="282">
        <f>H384-H385</f>
        <v>0</v>
      </c>
      <c r="I386" s="282">
        <f>I384-I385</f>
        <v>0</v>
      </c>
      <c r="J386" s="282">
        <f>J384-J385</f>
        <v>0</v>
      </c>
      <c r="K386" s="282">
        <f>K384-K385</f>
        <v>0</v>
      </c>
      <c r="L386" s="179"/>
      <c r="O386" s="3" t="s">
        <v>49</v>
      </c>
      <c r="P386" s="3" t="s">
        <v>50</v>
      </c>
    </row>
    <row r="387" spans="1:16" x14ac:dyDescent="0.25">
      <c r="B387" s="746" t="str">
        <f>IF(Intro!$G$21="English",O387,P387)</f>
        <v>Frais généraux, de vente, et d'administration</v>
      </c>
      <c r="C387" s="747"/>
      <c r="D387" s="747"/>
      <c r="E387" s="748"/>
      <c r="F387" s="214" t="s">
        <v>563</v>
      </c>
      <c r="G387" s="274"/>
      <c r="H387" s="274"/>
      <c r="I387" s="274"/>
      <c r="J387" s="274"/>
      <c r="K387" s="274"/>
      <c r="L387" s="179"/>
      <c r="M387" s="2"/>
      <c r="O387" s="2" t="s">
        <v>51</v>
      </c>
      <c r="P387" s="2" t="s">
        <v>52</v>
      </c>
    </row>
    <row r="388" spans="1:16" x14ac:dyDescent="0.25">
      <c r="B388" s="746" t="str">
        <f>IF(Intro!$G$21="English",O388,P388)</f>
        <v>Charges financières</v>
      </c>
      <c r="C388" s="747"/>
      <c r="D388" s="747"/>
      <c r="E388" s="748"/>
      <c r="F388" s="214" t="s">
        <v>563</v>
      </c>
      <c r="G388" s="274"/>
      <c r="H388" s="274"/>
      <c r="I388" s="274"/>
      <c r="J388" s="274"/>
      <c r="K388" s="274"/>
      <c r="L388" s="179"/>
      <c r="M388" s="2"/>
      <c r="O388" s="2" t="s">
        <v>53</v>
      </c>
      <c r="P388" s="2" t="s">
        <v>54</v>
      </c>
    </row>
    <row r="389" spans="1:16" x14ac:dyDescent="0.25">
      <c r="B389" s="746" t="str">
        <f>IF(Intro!$G$21="English",O389,P389)</f>
        <v>Autres dépenses</v>
      </c>
      <c r="C389" s="747"/>
      <c r="D389" s="747"/>
      <c r="E389" s="748"/>
      <c r="F389" s="214" t="s">
        <v>563</v>
      </c>
      <c r="G389" s="274"/>
      <c r="H389" s="274"/>
      <c r="I389" s="274"/>
      <c r="J389" s="274"/>
      <c r="K389" s="274"/>
      <c r="L389" s="179"/>
      <c r="M389" s="2"/>
      <c r="O389" s="2" t="s">
        <v>114</v>
      </c>
      <c r="P389" s="2" t="s">
        <v>115</v>
      </c>
    </row>
    <row r="390" spans="1:16" s="3" customFormat="1" x14ac:dyDescent="0.25">
      <c r="A390" s="18"/>
      <c r="B390" s="764" t="str">
        <f>IF(Intro!$G$21="English",O390,P390)</f>
        <v>Revenu net (perte nette) avant impôts</v>
      </c>
      <c r="C390" s="765"/>
      <c r="D390" s="765"/>
      <c r="E390" s="766"/>
      <c r="F390" s="214" t="s">
        <v>563</v>
      </c>
      <c r="G390" s="282">
        <f>G386-G387-G388-G389</f>
        <v>0</v>
      </c>
      <c r="H390" s="282">
        <f>H386-H387-H388-H389</f>
        <v>0</v>
      </c>
      <c r="I390" s="282">
        <f>I386-I387-I388-I389</f>
        <v>0</v>
      </c>
      <c r="J390" s="282">
        <f>J386-J387-J388-J389</f>
        <v>0</v>
      </c>
      <c r="K390" s="282">
        <f>K386-K387-K388-K389</f>
        <v>0</v>
      </c>
      <c r="L390" s="179"/>
      <c r="O390" s="3" t="s">
        <v>55</v>
      </c>
      <c r="P390" s="3" t="s">
        <v>56</v>
      </c>
    </row>
    <row r="391" spans="1:16" s="3" customFormat="1" x14ac:dyDescent="0.25">
      <c r="A391" s="18"/>
      <c r="B391" s="233"/>
      <c r="C391" s="234"/>
      <c r="D391" s="234"/>
      <c r="E391" s="234"/>
      <c r="F391" s="235"/>
      <c r="G391" s="235"/>
      <c r="H391" s="235"/>
      <c r="I391" s="235"/>
      <c r="J391" s="235"/>
      <c r="K391" s="235"/>
      <c r="L391" s="179"/>
    </row>
    <row r="392" spans="1:16" s="3" customFormat="1" x14ac:dyDescent="0.25">
      <c r="A392" s="18"/>
      <c r="B392" s="236" t="str">
        <f>IF(Intro!$G$21="English",O392,P392)</f>
        <v>Décrire les "Autres dépenses".</v>
      </c>
      <c r="L392" s="162"/>
      <c r="O392" s="2" t="s">
        <v>717</v>
      </c>
      <c r="P392" s="2" t="s">
        <v>718</v>
      </c>
    </row>
    <row r="393" spans="1:16" s="3" customFormat="1" x14ac:dyDescent="0.25">
      <c r="A393" s="18"/>
      <c r="B393" s="237"/>
      <c r="C393" s="151"/>
      <c r="L393" s="162"/>
      <c r="O393" s="2"/>
      <c r="P393" s="2"/>
    </row>
    <row r="394" spans="1:16" s="3" customFormat="1" x14ac:dyDescent="0.25">
      <c r="A394" s="18"/>
      <c r="B394" s="794"/>
      <c r="C394" s="795"/>
      <c r="D394" s="795"/>
      <c r="E394" s="795"/>
      <c r="F394" s="795"/>
      <c r="G394" s="795"/>
      <c r="H394" s="795"/>
      <c r="I394" s="795"/>
      <c r="J394" s="795"/>
      <c r="K394" s="795"/>
      <c r="L394" s="796"/>
      <c r="O394" s="2"/>
      <c r="P394" s="2"/>
    </row>
    <row r="395" spans="1:16" s="3" customFormat="1" x14ac:dyDescent="0.25">
      <c r="A395" s="18"/>
      <c r="B395" s="794"/>
      <c r="C395" s="795"/>
      <c r="D395" s="795"/>
      <c r="E395" s="795"/>
      <c r="F395" s="795"/>
      <c r="G395" s="795"/>
      <c r="H395" s="795"/>
      <c r="I395" s="795"/>
      <c r="J395" s="795"/>
      <c r="K395" s="795"/>
      <c r="L395" s="796"/>
      <c r="O395" s="2"/>
      <c r="P395" s="2"/>
    </row>
    <row r="396" spans="1:16" s="3" customFormat="1" x14ac:dyDescent="0.25">
      <c r="A396" s="18"/>
      <c r="B396" s="794"/>
      <c r="C396" s="795"/>
      <c r="D396" s="795"/>
      <c r="E396" s="795"/>
      <c r="F396" s="795"/>
      <c r="G396" s="795"/>
      <c r="H396" s="795"/>
      <c r="I396" s="795"/>
      <c r="J396" s="795"/>
      <c r="K396" s="795"/>
      <c r="L396" s="796"/>
      <c r="O396" s="2"/>
      <c r="P396" s="2"/>
    </row>
    <row r="397" spans="1:16" s="3" customFormat="1" x14ac:dyDescent="0.25">
      <c r="A397" s="18"/>
      <c r="B397" s="794"/>
      <c r="C397" s="795"/>
      <c r="D397" s="795"/>
      <c r="E397" s="795"/>
      <c r="F397" s="795"/>
      <c r="G397" s="795"/>
      <c r="H397" s="795"/>
      <c r="I397" s="795"/>
      <c r="J397" s="795"/>
      <c r="K397" s="795"/>
      <c r="L397" s="796"/>
      <c r="O397" s="2"/>
      <c r="P397" s="2"/>
    </row>
    <row r="398" spans="1:16" s="3" customFormat="1" x14ac:dyDescent="0.25">
      <c r="A398" s="18"/>
      <c r="B398" s="794"/>
      <c r="C398" s="795"/>
      <c r="D398" s="795"/>
      <c r="E398" s="795"/>
      <c r="F398" s="795"/>
      <c r="G398" s="795"/>
      <c r="H398" s="795"/>
      <c r="I398" s="795"/>
      <c r="J398" s="795"/>
      <c r="K398" s="795"/>
      <c r="L398" s="796"/>
      <c r="O398" s="2"/>
      <c r="P398" s="2"/>
    </row>
    <row r="399" spans="1:16" s="3" customFormat="1" x14ac:dyDescent="0.25">
      <c r="A399" s="18"/>
      <c r="B399" s="794"/>
      <c r="C399" s="795"/>
      <c r="D399" s="795"/>
      <c r="E399" s="795"/>
      <c r="F399" s="795"/>
      <c r="G399" s="795"/>
      <c r="H399" s="795"/>
      <c r="I399" s="795"/>
      <c r="J399" s="795"/>
      <c r="K399" s="795"/>
      <c r="L399" s="796"/>
      <c r="O399" s="2"/>
      <c r="P399" s="2"/>
    </row>
    <row r="400" spans="1:16" s="3" customFormat="1" x14ac:dyDescent="0.25">
      <c r="A400" s="18"/>
      <c r="B400" s="794"/>
      <c r="C400" s="795"/>
      <c r="D400" s="795"/>
      <c r="E400" s="795"/>
      <c r="F400" s="795"/>
      <c r="G400" s="795"/>
      <c r="H400" s="795"/>
      <c r="I400" s="795"/>
      <c r="J400" s="795"/>
      <c r="K400" s="795"/>
      <c r="L400" s="796"/>
      <c r="O400" s="2"/>
      <c r="P400" s="2"/>
    </row>
    <row r="401" spans="1:16" s="3" customFormat="1" x14ac:dyDescent="0.25">
      <c r="A401" s="18"/>
      <c r="B401" s="794"/>
      <c r="C401" s="795"/>
      <c r="D401" s="795"/>
      <c r="E401" s="795"/>
      <c r="F401" s="795"/>
      <c r="G401" s="795"/>
      <c r="H401" s="795"/>
      <c r="I401" s="795"/>
      <c r="J401" s="795"/>
      <c r="K401" s="795"/>
      <c r="L401" s="796"/>
      <c r="O401" s="2"/>
      <c r="P401" s="2"/>
    </row>
    <row r="402" spans="1:16" s="3" customFormat="1" x14ac:dyDescent="0.25">
      <c r="A402" s="18"/>
      <c r="B402" s="238"/>
      <c r="C402" s="239"/>
      <c r="D402" s="239"/>
      <c r="E402" s="239"/>
      <c r="F402" s="235"/>
      <c r="G402" s="240"/>
      <c r="H402" s="240"/>
      <c r="I402" s="240"/>
      <c r="J402" s="240"/>
      <c r="K402" s="240"/>
      <c r="L402" s="179"/>
      <c r="O402" s="2"/>
      <c r="P402" s="2"/>
    </row>
    <row r="403" spans="1:16" s="3" customFormat="1" x14ac:dyDescent="0.25">
      <c r="A403" s="18"/>
      <c r="B403" s="456" t="str">
        <f>B35</f>
        <v>Expliquez toute variation importante entre les périodes et toute irrégularité tels que des montants négatifs dans les montants indiqués ci-dessus.</v>
      </c>
      <c r="C403" s="457"/>
      <c r="D403" s="457"/>
      <c r="E403" s="457"/>
      <c r="F403" s="457"/>
      <c r="G403" s="457"/>
      <c r="H403" s="457"/>
      <c r="I403" s="457"/>
      <c r="J403" s="457"/>
      <c r="K403" s="457"/>
      <c r="L403" s="458"/>
      <c r="O403" s="2"/>
      <c r="P403" s="2"/>
    </row>
    <row r="404" spans="1:16" s="3" customFormat="1" x14ac:dyDescent="0.25">
      <c r="A404" s="18"/>
      <c r="B404" s="164"/>
      <c r="C404" s="151"/>
      <c r="D404" s="151"/>
      <c r="E404" s="151"/>
      <c r="L404" s="179"/>
      <c r="O404" s="2"/>
      <c r="P404" s="2"/>
    </row>
    <row r="405" spans="1:16" s="3" customFormat="1" x14ac:dyDescent="0.25">
      <c r="A405" s="18"/>
      <c r="B405" s="749"/>
      <c r="C405" s="750"/>
      <c r="D405" s="750"/>
      <c r="E405" s="750"/>
      <c r="F405" s="750"/>
      <c r="G405" s="750"/>
      <c r="H405" s="750"/>
      <c r="I405" s="750"/>
      <c r="J405" s="750"/>
      <c r="K405" s="750"/>
      <c r="L405" s="751"/>
      <c r="O405" s="2"/>
      <c r="P405" s="2"/>
    </row>
    <row r="406" spans="1:16" s="3" customFormat="1" x14ac:dyDescent="0.25">
      <c r="A406" s="18"/>
      <c r="B406" s="749"/>
      <c r="C406" s="750"/>
      <c r="D406" s="750"/>
      <c r="E406" s="750"/>
      <c r="F406" s="750"/>
      <c r="G406" s="750"/>
      <c r="H406" s="750"/>
      <c r="I406" s="750"/>
      <c r="J406" s="750"/>
      <c r="K406" s="750"/>
      <c r="L406" s="751"/>
      <c r="O406" s="2"/>
      <c r="P406" s="2"/>
    </row>
    <row r="407" spans="1:16" s="3" customFormat="1" x14ac:dyDescent="0.25">
      <c r="A407" s="18"/>
      <c r="B407" s="749"/>
      <c r="C407" s="750"/>
      <c r="D407" s="750"/>
      <c r="E407" s="750"/>
      <c r="F407" s="750"/>
      <c r="G407" s="750"/>
      <c r="H407" s="750"/>
      <c r="I407" s="750"/>
      <c r="J407" s="750"/>
      <c r="K407" s="750"/>
      <c r="L407" s="751"/>
      <c r="O407" s="2"/>
      <c r="P407" s="2"/>
    </row>
    <row r="408" spans="1:16" s="3" customFormat="1" x14ac:dyDescent="0.25">
      <c r="A408" s="18"/>
      <c r="B408" s="749"/>
      <c r="C408" s="750"/>
      <c r="D408" s="750"/>
      <c r="E408" s="750"/>
      <c r="F408" s="750"/>
      <c r="G408" s="750"/>
      <c r="H408" s="750"/>
      <c r="I408" s="750"/>
      <c r="J408" s="750"/>
      <c r="K408" s="750"/>
      <c r="L408" s="751"/>
      <c r="O408" s="2"/>
      <c r="P408" s="2"/>
    </row>
    <row r="409" spans="1:16" s="3" customFormat="1" x14ac:dyDescent="0.25">
      <c r="A409" s="18"/>
      <c r="B409" s="749"/>
      <c r="C409" s="750"/>
      <c r="D409" s="750"/>
      <c r="E409" s="750"/>
      <c r="F409" s="750"/>
      <c r="G409" s="750"/>
      <c r="H409" s="750"/>
      <c r="I409" s="750"/>
      <c r="J409" s="750"/>
      <c r="K409" s="750"/>
      <c r="L409" s="751"/>
      <c r="O409" s="2"/>
      <c r="P409" s="2"/>
    </row>
    <row r="410" spans="1:16" s="3" customFormat="1" x14ac:dyDescent="0.25">
      <c r="A410" s="18"/>
      <c r="B410" s="749"/>
      <c r="C410" s="750"/>
      <c r="D410" s="750"/>
      <c r="E410" s="750"/>
      <c r="F410" s="750"/>
      <c r="G410" s="750"/>
      <c r="H410" s="750"/>
      <c r="I410" s="750"/>
      <c r="J410" s="750"/>
      <c r="K410" s="750"/>
      <c r="L410" s="751"/>
      <c r="O410" s="2"/>
      <c r="P410" s="2"/>
    </row>
    <row r="411" spans="1:16" s="3" customFormat="1" x14ac:dyDescent="0.25">
      <c r="A411" s="18"/>
      <c r="B411" s="749"/>
      <c r="C411" s="750"/>
      <c r="D411" s="750"/>
      <c r="E411" s="750"/>
      <c r="F411" s="750"/>
      <c r="G411" s="750"/>
      <c r="H411" s="750"/>
      <c r="I411" s="750"/>
      <c r="J411" s="750"/>
      <c r="K411" s="750"/>
      <c r="L411" s="751"/>
      <c r="O411" s="2"/>
      <c r="P411" s="2"/>
    </row>
    <row r="412" spans="1:16" s="3" customFormat="1" x14ac:dyDescent="0.25">
      <c r="A412" s="18"/>
      <c r="B412" s="749"/>
      <c r="C412" s="750"/>
      <c r="D412" s="750"/>
      <c r="E412" s="750"/>
      <c r="F412" s="750"/>
      <c r="G412" s="750"/>
      <c r="H412" s="750"/>
      <c r="I412" s="750"/>
      <c r="J412" s="750"/>
      <c r="K412" s="750"/>
      <c r="L412" s="751"/>
      <c r="O412" s="2"/>
      <c r="P412" s="2"/>
    </row>
    <row r="413" spans="1:16" x14ac:dyDescent="0.25">
      <c r="B413" s="176"/>
      <c r="C413" s="177"/>
      <c r="D413" s="177"/>
      <c r="E413" s="177"/>
      <c r="F413" s="177"/>
      <c r="G413" s="177"/>
      <c r="H413" s="177"/>
      <c r="I413" s="177"/>
      <c r="J413" s="177"/>
      <c r="K413" s="177"/>
      <c r="L413" s="178"/>
      <c r="M413" s="2"/>
    </row>
    <row r="414" spans="1:16" s="3" customFormat="1" x14ac:dyDescent="0.25">
      <c r="A414" s="12"/>
      <c r="B414" s="585" t="s">
        <v>37</v>
      </c>
      <c r="C414" s="586"/>
      <c r="D414" s="586"/>
      <c r="E414" s="586"/>
      <c r="F414" s="586"/>
      <c r="G414" s="586"/>
      <c r="H414" s="586"/>
      <c r="I414" s="586"/>
      <c r="J414" s="586"/>
      <c r="K414" s="586"/>
      <c r="L414" s="587"/>
      <c r="M414" s="168"/>
      <c r="O414" s="2"/>
    </row>
    <row r="415" spans="1:16" x14ac:dyDescent="0.25">
      <c r="B415" s="170"/>
      <c r="C415" s="171"/>
      <c r="D415" s="171"/>
      <c r="E415" s="171"/>
      <c r="F415" s="171"/>
      <c r="G415" s="171"/>
      <c r="H415" s="171"/>
      <c r="I415" s="171"/>
      <c r="J415" s="171"/>
      <c r="K415" s="171"/>
      <c r="L415" s="172"/>
      <c r="M415" s="2"/>
    </row>
    <row r="416" spans="1:16" x14ac:dyDescent="0.25">
      <c r="B416" s="475" t="str">
        <f>IF(Intro!$G$21="English",O416,P416)</f>
        <v>Présentez les états financiers vérifiés pour l'ensemble de l'entreprise pour chaque exercice depuis le 1er janvier 2023. Si votre entreprise ne prépare pas habituellement d’états vérifiés, soumettez des états non vérifiés équivalents.</v>
      </c>
      <c r="C416" s="476"/>
      <c r="D416" s="476"/>
      <c r="E416" s="476"/>
      <c r="F416" s="476"/>
      <c r="G416" s="476"/>
      <c r="H416" s="476"/>
      <c r="I416" s="476"/>
      <c r="J416" s="476"/>
      <c r="K416" s="476"/>
      <c r="L416" s="477"/>
      <c r="M416" s="2"/>
      <c r="O416"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16"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17" spans="1:14" x14ac:dyDescent="0.25">
      <c r="B417" s="475"/>
      <c r="C417" s="476"/>
      <c r="D417" s="476"/>
      <c r="E417" s="476"/>
      <c r="F417" s="476"/>
      <c r="G417" s="476"/>
      <c r="H417" s="476"/>
      <c r="I417" s="476"/>
      <c r="J417" s="476"/>
      <c r="K417" s="476"/>
      <c r="L417" s="477"/>
      <c r="M417" s="2"/>
    </row>
    <row r="418" spans="1:14" x14ac:dyDescent="0.25">
      <c r="B418" s="176"/>
      <c r="C418" s="177"/>
      <c r="D418" s="177"/>
      <c r="E418" s="177"/>
      <c r="F418" s="177"/>
      <c r="G418" s="177"/>
      <c r="H418" s="177"/>
      <c r="I418" s="177"/>
      <c r="J418" s="177"/>
      <c r="K418" s="177"/>
      <c r="L418" s="178"/>
      <c r="M418" s="2"/>
    </row>
    <row r="419" spans="1:14" s="3" customFormat="1" x14ac:dyDescent="0.25">
      <c r="A419" s="12"/>
      <c r="B419" s="183"/>
      <c r="C419" s="183"/>
      <c r="D419" s="183"/>
      <c r="E419" s="184"/>
      <c r="F419" s="184"/>
      <c r="G419" s="184"/>
      <c r="H419" s="184"/>
      <c r="I419" s="184"/>
      <c r="J419" s="184"/>
      <c r="K419" s="184"/>
      <c r="L419" s="184"/>
      <c r="M419" s="168"/>
    </row>
    <row r="420" spans="1:14" s="156" customFormat="1" x14ac:dyDescent="0.25">
      <c r="A420" s="180"/>
      <c r="B420" s="13"/>
      <c r="C420" s="13"/>
      <c r="D420" s="181"/>
      <c r="E420" s="181"/>
      <c r="F420" s="181"/>
      <c r="G420" s="181"/>
      <c r="H420" s="181"/>
      <c r="I420" s="181"/>
      <c r="J420" s="181"/>
      <c r="K420" s="181"/>
      <c r="L420" s="181"/>
      <c r="N420" s="182"/>
    </row>
    <row r="421" spans="1:14" s="156" customFormat="1" x14ac:dyDescent="0.25">
      <c r="A421" s="180"/>
      <c r="B421" s="13"/>
      <c r="C421" s="13"/>
      <c r="D421" s="181"/>
      <c r="E421" s="181"/>
      <c r="F421" s="181"/>
      <c r="G421" s="181"/>
      <c r="H421" s="181"/>
      <c r="I421" s="181"/>
      <c r="J421" s="181"/>
      <c r="K421" s="181"/>
      <c r="L421" s="181"/>
      <c r="N421" s="182"/>
    </row>
  </sheetData>
  <sheetProtection algorithmName="SHA-512" hashValue="PNUfT+UFA3SQpsiNYAnCcW0kPdhXsngilvG65gC1JXhNb+yZOdqtXJSv+cyNn6TJwUZZKQR/PWzAAj4caasfFg==" saltValue="cW73Wavph523F25i0S8iig==" spinCount="100000" sheet="1" objects="1" scenarios="1" selectLockedCells="1"/>
  <mergeCells count="246">
    <mergeCell ref="I261:I263"/>
    <mergeCell ref="J261:J263"/>
    <mergeCell ref="K261:K263"/>
    <mergeCell ref="B127:B136"/>
    <mergeCell ref="B208:L208"/>
    <mergeCell ref="B210:L217"/>
    <mergeCell ref="G125:L126"/>
    <mergeCell ref="G127:L136"/>
    <mergeCell ref="G137:L146"/>
    <mergeCell ref="G147:L156"/>
    <mergeCell ref="B125:B126"/>
    <mergeCell ref="G219:G220"/>
    <mergeCell ref="B222:E222"/>
    <mergeCell ref="B223:E223"/>
    <mergeCell ref="B261:F263"/>
    <mergeCell ref="G261:G263"/>
    <mergeCell ref="H261:H263"/>
    <mergeCell ref="I96:I97"/>
    <mergeCell ref="D127:D136"/>
    <mergeCell ref="C127:C136"/>
    <mergeCell ref="B200:L207"/>
    <mergeCell ref="B234:L241"/>
    <mergeCell ref="B255:F257"/>
    <mergeCell ref="G255:G257"/>
    <mergeCell ref="H255:H257"/>
    <mergeCell ref="G102:G103"/>
    <mergeCell ref="B106:E106"/>
    <mergeCell ref="J96:J97"/>
    <mergeCell ref="K96:K97"/>
    <mergeCell ref="G111:G112"/>
    <mergeCell ref="B104:E104"/>
    <mergeCell ref="B105:E105"/>
    <mergeCell ref="B98:E98"/>
    <mergeCell ref="B99:E99"/>
    <mergeCell ref="B100:E100"/>
    <mergeCell ref="I264:I266"/>
    <mergeCell ref="J264:J266"/>
    <mergeCell ref="H253:H254"/>
    <mergeCell ref="B75:L82"/>
    <mergeCell ref="B73:L73"/>
    <mergeCell ref="B86:L87"/>
    <mergeCell ref="K185:K186"/>
    <mergeCell ref="K253:K254"/>
    <mergeCell ref="B107:E107"/>
    <mergeCell ref="B113:E113"/>
    <mergeCell ref="B114:E114"/>
    <mergeCell ref="B115:E115"/>
    <mergeCell ref="B116:E116"/>
    <mergeCell ref="B117:E117"/>
    <mergeCell ref="B118:E118"/>
    <mergeCell ref="B88:L88"/>
    <mergeCell ref="J111:J112"/>
    <mergeCell ref="K111:K112"/>
    <mergeCell ref="B167:B176"/>
    <mergeCell ref="B229:E229"/>
    <mergeCell ref="B228:E228"/>
    <mergeCell ref="B92:E92"/>
    <mergeCell ref="B93:E93"/>
    <mergeCell ref="B94:E94"/>
    <mergeCell ref="B17:L17"/>
    <mergeCell ref="B71:L71"/>
    <mergeCell ref="B84:L84"/>
    <mergeCell ref="B120:L120"/>
    <mergeCell ref="B180:L180"/>
    <mergeCell ref="K219:K220"/>
    <mergeCell ref="B230:E230"/>
    <mergeCell ref="G157:L166"/>
    <mergeCell ref="D281:L288"/>
    <mergeCell ref="B281:C288"/>
    <mergeCell ref="B279:L279"/>
    <mergeCell ref="B268:L275"/>
    <mergeCell ref="B196:E196"/>
    <mergeCell ref="B23:E23"/>
    <mergeCell ref="B48:E48"/>
    <mergeCell ref="B109:L110"/>
    <mergeCell ref="B96:F97"/>
    <mergeCell ref="G264:G266"/>
    <mergeCell ref="H264:H266"/>
    <mergeCell ref="I90:I91"/>
    <mergeCell ref="J90:J91"/>
    <mergeCell ref="B224:E224"/>
    <mergeCell ref="B227:E227"/>
    <mergeCell ref="B242:L242"/>
    <mergeCell ref="B35:L35"/>
    <mergeCell ref="G46:G47"/>
    <mergeCell ref="B90:F91"/>
    <mergeCell ref="G90:G91"/>
    <mergeCell ref="G96:G97"/>
    <mergeCell ref="B102:F103"/>
    <mergeCell ref="I253:I254"/>
    <mergeCell ref="J253:J254"/>
    <mergeCell ref="B414:L414"/>
    <mergeCell ref="B289:C296"/>
    <mergeCell ref="D289:L296"/>
    <mergeCell ref="D297:L304"/>
    <mergeCell ref="B297:C304"/>
    <mergeCell ref="B394:L401"/>
    <mergeCell ref="B403:L403"/>
    <mergeCell ref="B185:F186"/>
    <mergeCell ref="G185:G186"/>
    <mergeCell ref="K264:K266"/>
    <mergeCell ref="B258:F260"/>
    <mergeCell ref="G258:G260"/>
    <mergeCell ref="H258:H260"/>
    <mergeCell ref="I258:I260"/>
    <mergeCell ref="J258:J260"/>
    <mergeCell ref="K258:K260"/>
    <mergeCell ref="B365:C374"/>
    <mergeCell ref="D365:L374"/>
    <mergeCell ref="B323:L323"/>
    <mergeCell ref="B343:L343"/>
    <mergeCell ref="B326:C326"/>
    <mergeCell ref="B320:L320"/>
    <mergeCell ref="B308:L308"/>
    <mergeCell ref="B310:L317"/>
    <mergeCell ref="B332:L339"/>
    <mergeCell ref="B330:L330"/>
    <mergeCell ref="B345:C354"/>
    <mergeCell ref="D345:L354"/>
    <mergeCell ref="B355:C364"/>
    <mergeCell ref="D355:L364"/>
    <mergeCell ref="B328:L328"/>
    <mergeCell ref="B341:L341"/>
    <mergeCell ref="K21:K22"/>
    <mergeCell ref="H21:H22"/>
    <mergeCell ref="I21:I22"/>
    <mergeCell ref="J21:J22"/>
    <mergeCell ref="B21:F22"/>
    <mergeCell ref="G21:G22"/>
    <mergeCell ref="B244:L251"/>
    <mergeCell ref="B253:F254"/>
    <mergeCell ref="G253:G254"/>
    <mergeCell ref="H102:H103"/>
    <mergeCell ref="I102:I103"/>
    <mergeCell ref="J102:J103"/>
    <mergeCell ref="K102:K103"/>
    <mergeCell ref="H111:H112"/>
    <mergeCell ref="C125:C126"/>
    <mergeCell ref="D125:D126"/>
    <mergeCell ref="B182:L183"/>
    <mergeCell ref="B37:L44"/>
    <mergeCell ref="H185:H186"/>
    <mergeCell ref="I185:I186"/>
    <mergeCell ref="J185:J186"/>
    <mergeCell ref="B179:L179"/>
    <mergeCell ref="I111:I112"/>
    <mergeCell ref="H96:H97"/>
    <mergeCell ref="B384:E384"/>
    <mergeCell ref="B385:E385"/>
    <mergeCell ref="B386:E386"/>
    <mergeCell ref="B387:E387"/>
    <mergeCell ref="E137:F146"/>
    <mergeCell ref="E147:F156"/>
    <mergeCell ref="E157:F166"/>
    <mergeCell ref="E167:F176"/>
    <mergeCell ref="C167:C176"/>
    <mergeCell ref="B157:B166"/>
    <mergeCell ref="C157:C166"/>
    <mergeCell ref="D157:D166"/>
    <mergeCell ref="B137:B146"/>
    <mergeCell ref="C137:C146"/>
    <mergeCell ref="B277:L277"/>
    <mergeCell ref="B306:L306"/>
    <mergeCell ref="B321:L321"/>
    <mergeCell ref="I255:I257"/>
    <mergeCell ref="J255:J257"/>
    <mergeCell ref="K255:K257"/>
    <mergeCell ref="D137:D146"/>
    <mergeCell ref="B147:B156"/>
    <mergeCell ref="B377:L377"/>
    <mergeCell ref="B264:F266"/>
    <mergeCell ref="B388:E388"/>
    <mergeCell ref="B16:L16"/>
    <mergeCell ref="B389:E389"/>
    <mergeCell ref="B390:E390"/>
    <mergeCell ref="B19:L19"/>
    <mergeCell ref="B189:E189"/>
    <mergeCell ref="B190:E190"/>
    <mergeCell ref="B191:E191"/>
    <mergeCell ref="B192:E192"/>
    <mergeCell ref="B193:E193"/>
    <mergeCell ref="B194:E194"/>
    <mergeCell ref="B195:E195"/>
    <mergeCell ref="B219:F220"/>
    <mergeCell ref="H219:H220"/>
    <mergeCell ref="I219:I220"/>
    <mergeCell ref="J219:J220"/>
    <mergeCell ref="B221:E221"/>
    <mergeCell ref="C147:C156"/>
    <mergeCell ref="D167:D176"/>
    <mergeCell ref="D147:D156"/>
    <mergeCell ref="E127:F136"/>
    <mergeCell ref="B122:L123"/>
    <mergeCell ref="G167:L176"/>
    <mergeCell ref="E125:F126"/>
    <mergeCell ref="B416:L417"/>
    <mergeCell ref="B405:L412"/>
    <mergeCell ref="B4:L4"/>
    <mergeCell ref="B5:L5"/>
    <mergeCell ref="B6:L6"/>
    <mergeCell ref="B8:L8"/>
    <mergeCell ref="B9:L9"/>
    <mergeCell ref="B10:L10"/>
    <mergeCell ref="B12:L12"/>
    <mergeCell ref="B379:L380"/>
    <mergeCell ref="G382:G383"/>
    <mergeCell ref="H382:H383"/>
    <mergeCell ref="I382:I383"/>
    <mergeCell ref="J382:J383"/>
    <mergeCell ref="K382:K383"/>
    <mergeCell ref="B376:L376"/>
    <mergeCell ref="B13:L13"/>
    <mergeCell ref="B14:L14"/>
    <mergeCell ref="K46:K47"/>
    <mergeCell ref="B60:L60"/>
    <mergeCell ref="B225:E225"/>
    <mergeCell ref="B226:E226"/>
    <mergeCell ref="B187:E187"/>
    <mergeCell ref="B188:E188"/>
    <mergeCell ref="B24:E24"/>
    <mergeCell ref="B25:E25"/>
    <mergeCell ref="B26:E26"/>
    <mergeCell ref="B27:E27"/>
    <mergeCell ref="B28:E28"/>
    <mergeCell ref="B30:E30"/>
    <mergeCell ref="B31:E31"/>
    <mergeCell ref="B32:E32"/>
    <mergeCell ref="B33:E33"/>
    <mergeCell ref="B29:E29"/>
    <mergeCell ref="B46:F47"/>
    <mergeCell ref="B49:E49"/>
    <mergeCell ref="B50:E50"/>
    <mergeCell ref="B51:E51"/>
    <mergeCell ref="B62:L69"/>
    <mergeCell ref="B53:E53"/>
    <mergeCell ref="B55:E55"/>
    <mergeCell ref="B56:E56"/>
    <mergeCell ref="H90:H91"/>
    <mergeCell ref="B57:E57"/>
    <mergeCell ref="H46:H47"/>
    <mergeCell ref="I46:I47"/>
    <mergeCell ref="J46:J47"/>
    <mergeCell ref="B52:E52"/>
    <mergeCell ref="B58:E58"/>
    <mergeCell ref="B54:E54"/>
    <mergeCell ref="K90:K91"/>
  </mergeCells>
  <phoneticPr fontId="18" type="noConversion"/>
  <conditionalFormatting sqref="G255:K255">
    <cfRule type="cellIs" dxfId="31" priority="2" operator="equal">
      <formula>"Error"</formula>
    </cfRule>
  </conditionalFormatting>
  <conditionalFormatting sqref="G258:K258 G261:K261 G264:K265">
    <cfRule type="cellIs" dxfId="30" priority="1" operator="equal">
      <formula>"Error"</formula>
    </cfRule>
  </conditionalFormatting>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C167:E167 C137:E137 C147:E147 G167 G137 G147 G157 C157:E157 D281:D283 D289 D297 D299:D300 D355 D365 D291:D292 D345"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86:K386 G33:K33 G94:K94 G100:K100 G107:K107 G189:K189 G113:K118 G223:K223 G402:K402 G230:K230 G225:K226 G196:K196 G191:K192 G104:K104 G390:K390 G58:K58" xr:uid="{F77DE07A-E5BD-4DD9-9825-4423487DEE8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32 B75 B268 B310" xr:uid="{5FC4152B-5ADE-4FEC-B03A-FB21EF47E33C}">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84:K385 G387:K389 E326:J326 G30:K32 G92:K93 G98:K99 G105:K106 G187:K188 G190:K190 G193:K195 G221:K222 G224:K224 G227:K229 G23:K28 G48:K53 G55:K57" xr:uid="{C1F52860-EE92-48F0-AFC1-749E3BB6E371}">
      <formula1>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29:K29 G54:K54" xr:uid="{456694CA-CD16-4ABF-8EE0-4E70833EA80B}">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8" min="1" max="11" man="1"/>
    <brk id="252" min="1" max="11" man="1"/>
    <brk id="319" min="1" max="11" man="1"/>
    <brk id="375"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24</vt:i4>
      </vt:variant>
    </vt:vector>
  </HeadingPairs>
  <TitlesOfParts>
    <vt:vector size="42" baseType="lpstr">
      <vt:lpstr>Variables</vt:lpstr>
      <vt:lpstr>Intro</vt:lpstr>
      <vt:lpstr>Info</vt:lpstr>
      <vt:lpstr>Public</vt:lpstr>
      <vt:lpstr>Grades|Nuances</vt:lpstr>
      <vt:lpstr>AddPub</vt:lpstr>
      <vt:lpstr>Pro 1</vt:lpstr>
      <vt:lpstr>Pro 2</vt:lpstr>
      <vt:lpstr>Pro 3</vt:lpstr>
      <vt:lpstr>Pro 4</vt:lpstr>
      <vt:lpstr>Projects - Projets</vt:lpstr>
      <vt:lpstr>AddPro</vt:lpstr>
      <vt:lpstr>Confirm</vt:lpstr>
      <vt:lpstr>MiniDB</vt:lpstr>
      <vt:lpstr>MiniDB2</vt:lpstr>
      <vt:lpstr>PublicDB</vt:lpstr>
      <vt:lpstr>PrjDB</vt:lpstr>
      <vt:lpstr>DataTab</vt:lpstr>
      <vt:lpstr>AddPro!Print_Area</vt:lpstr>
      <vt:lpstr>AddPub!Print_Area</vt:lpstr>
      <vt:lpstr>Confirm!Print_Area</vt:lpstr>
      <vt:lpstr>'Grades|Nuances'!Print_Area</vt:lpstr>
      <vt:lpstr>Info!Print_Area</vt:lpstr>
      <vt:lpstr>Intro!Print_Area</vt:lpstr>
      <vt:lpstr>'Pro 1'!Print_Area</vt:lpstr>
      <vt:lpstr>'Pro 2'!Print_Area</vt:lpstr>
      <vt:lpstr>'Pro 3'!Print_Area</vt:lpstr>
      <vt:lpstr>'Pro 4'!Print_Area</vt:lpstr>
      <vt:lpstr>'Projects - Projets'!Print_Area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'Pro 3'!Print_Titles</vt:lpstr>
      <vt:lpstr>'Pro 4'!Print_Titles</vt:lpstr>
      <vt:lpstr>'Projects - Projets'!Print_Titles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2026-01-06T23:55:36Z</cp:lastPrinted>
  <dcterms:created xsi:type="dcterms:W3CDTF">2023-04-17T11:18:56Z</dcterms:created>
  <dcterms:modified xsi:type="dcterms:W3CDTF">2026-09-04T17:32:34Z</dcterms:modified>
</cp:coreProperties>
</file>