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O:\CITT\Cases\SIMA\PI-2026-001\Working Files\Research\Questionnaires\Final for website\"/>
    </mc:Choice>
  </mc:AlternateContent>
  <xr:revisionPtr revIDLastSave="0" documentId="13_ncr:1_{9C825AD6-2DAD-4FEA-8674-89D64689D980}" xr6:coauthVersionLast="47" xr6:coauthVersionMax="47" xr10:uidLastSave="{00000000-0000-0000-0000-000000000000}"/>
  <workbookProtection workbookAlgorithmName="SHA-512" workbookHashValue="zQHLHh74GlahBJc/kda+ShGsCrwSvh0RMfeWKobz6OGBRJgbl1TyEn4HvXDc7QvLWWHPXH1Wy3wOnLIXe66IUw==" workbookSaltValue="R64C1zzIYLH3LmWOkvcuAQ==" workbookSpinCount="100000" lockStructure="1"/>
  <bookViews>
    <workbookView xWindow="2310" yWindow="1365" windowWidth="24090" windowHeight="14100" tabRatio="731" firstSheet="1" activeTab="1" xr2:uid="{3D654CF3-06ED-4DA0-B41D-5BE2C0DB6148}"/>
  </bookViews>
  <sheets>
    <sheet name="Variables" sheetId="38" state="hidden" r:id="rId1"/>
    <sheet name="Intro" sheetId="48" r:id="rId2"/>
    <sheet name="Info" sheetId="49" r:id="rId3"/>
    <sheet name="Public" sheetId="47" r:id="rId4"/>
    <sheet name="Grades-Nuances" sheetId="52" r:id="rId5"/>
    <sheet name="AddPub" sheetId="45" r:id="rId6"/>
    <sheet name="Pro 1" sheetId="37" r:id="rId7"/>
    <sheet name="Pro 2" sheetId="39" r:id="rId8"/>
    <sheet name="Pro 3" sheetId="42" r:id="rId9"/>
    <sheet name="Pro 4" sheetId="43" r:id="rId10"/>
    <sheet name="AddPro" sheetId="44" r:id="rId11"/>
    <sheet name="Confirm" sheetId="46" r:id="rId12"/>
    <sheet name="GradeQualDB" sheetId="62" state="hidden" r:id="rId13"/>
    <sheet name="DBFirm" sheetId="53" state="hidden" r:id="rId14"/>
    <sheet name="DBSls" sheetId="54" state="hidden" r:id="rId15"/>
    <sheet name="DBPerformance" sheetId="55" state="hidden" r:id="rId16"/>
    <sheet name="DBOtherPerf" sheetId="56" state="hidden" r:id="rId17"/>
    <sheet name="DBAvgCost" sheetId="57" state="hidden" r:id="rId18"/>
    <sheet name="DBNegative" sheetId="58" state="hidden" r:id="rId19"/>
    <sheet name="DBBenchmark" sheetId="59" state="hidden" r:id="rId20"/>
    <sheet name="DBRegional" sheetId="60" state="hidden" r:id="rId21"/>
    <sheet name="DBTopAcct" sheetId="61" state="hidden" r:id="rId22"/>
    <sheet name="DataTab" sheetId="51" state="hidden" r:id="rId23"/>
  </sheets>
  <definedNames>
    <definedName name="assocfirm">#REF!</definedName>
    <definedName name="assofirm">#REF!</definedName>
    <definedName name="AssoFirms">#REF!</definedName>
    <definedName name="cogm">#REF!</definedName>
    <definedName name="cogs">#REF!</definedName>
    <definedName name="demp">#REF!</definedName>
    <definedName name="fexp">#REF!</definedName>
    <definedName name="gsa">#REF!</definedName>
    <definedName name="iemp">#REF!</definedName>
    <definedName name="ndpv">#REF!</definedName>
    <definedName name="ndsv">#REF!</definedName>
    <definedName name="nsv">#REF!</definedName>
    <definedName name="POR" localSheetId="22">#REF!</definedName>
    <definedName name="POR" localSheetId="4">#REF!</definedName>
    <definedName name="POR">#REF!</definedName>
    <definedName name="PORa">#REF!</definedName>
    <definedName name="PORDB">#REF!</definedName>
    <definedName name="PORL">#REF!</definedName>
    <definedName name="PORT">#REF!</definedName>
    <definedName name="PORX">#REF!</definedName>
    <definedName name="ppc">#REF!</definedName>
    <definedName name="_xlnm.Print_Area" localSheetId="10">AddPro!$B$1:$L$57</definedName>
    <definedName name="_xlnm.Print_Area" localSheetId="5">AddPub!$B$1:$L$57</definedName>
    <definedName name="_xlnm.Print_Area" localSheetId="11">Confirm!$B$1:$L$85</definedName>
    <definedName name="_xlnm.Print_Area" localSheetId="4">'Grades-Nuances'!$B$1:$L$61</definedName>
    <definedName name="_xlnm.Print_Area" localSheetId="2">Info!$B$1:$L$80</definedName>
    <definedName name="_xlnm.Print_Area" localSheetId="1">Intro!$B$1:$L$166</definedName>
    <definedName name="_xlnm.Print_Area" localSheetId="6">'Pro 1'!$B$1:$L$111</definedName>
    <definedName name="_xlnm.Print_Area" localSheetId="7">'Pro 2'!$B$1:$L$338</definedName>
    <definedName name="_xlnm.Print_Area" localSheetId="8">'Pro 3'!$B$1:$L$398</definedName>
    <definedName name="_xlnm.Print_Area" localSheetId="9">'Pro 4'!$B$1:$L$241</definedName>
    <definedName name="_xlnm.Print_Area" localSheetId="3">Public!$B$1:$L$455</definedName>
    <definedName name="_xlnm.Print_Titles" localSheetId="10">AddPro!$1:$7</definedName>
    <definedName name="_xlnm.Print_Titles" localSheetId="5">AddPub!$1:$7</definedName>
    <definedName name="_xlnm.Print_Titles" localSheetId="11">Confirm!$1:$7</definedName>
    <definedName name="_xlnm.Print_Titles" localSheetId="4">'Grades-Nuances'!$1:$7</definedName>
    <definedName name="_xlnm.Print_Titles" localSheetId="2">Info!$1:$7</definedName>
    <definedName name="_xlnm.Print_Titles" localSheetId="1">Intro!$1:$7</definedName>
    <definedName name="_xlnm.Print_Titles" localSheetId="6">'Pro 1'!$1:$7</definedName>
    <definedName name="_xlnm.Print_Titles" localSheetId="7">'Pro 2'!$1:$7</definedName>
    <definedName name="_xlnm.Print_Titles" localSheetId="8">'Pro 3'!$1:$7</definedName>
    <definedName name="_xlnm.Print_Titles" localSheetId="9">'Pro 4'!$1:$7</definedName>
    <definedName name="_xlnm.Print_Titles" localSheetId="3">Public!$1:$7</definedName>
    <definedName name="quest11">#REF!</definedName>
    <definedName name="quest7">#REF!</definedName>
    <definedName name="quest8" localSheetId="10">AddPro!#REF!</definedName>
    <definedName name="quest8" localSheetId="5">AddPub!#REF!</definedName>
    <definedName name="quest8" localSheetId="11">Confirm!#REF!</definedName>
    <definedName name="quest8" localSheetId="22">#REF!</definedName>
    <definedName name="quest8" localSheetId="2">Info!#REF!</definedName>
    <definedName name="quest8" localSheetId="1">Intro!#REF!</definedName>
    <definedName name="quest8" localSheetId="6">'Pro 1'!#REF!</definedName>
    <definedName name="quest8" localSheetId="7">'Pro 2'!#REF!</definedName>
    <definedName name="quest8" localSheetId="8">'Pro 3'!#REF!</definedName>
    <definedName name="quest8" localSheetId="9">'Pro 4'!#REF!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62" l="1"/>
  <c r="A4" i="62"/>
  <c r="A5" i="62" s="1"/>
  <c r="A6" i="62" s="1"/>
  <c r="A7" i="62" s="1"/>
  <c r="A8" i="62" s="1"/>
  <c r="A9" i="62" s="1"/>
  <c r="A10" i="62" s="1"/>
  <c r="A11" i="62" s="1"/>
  <c r="A12" i="62" s="1"/>
  <c r="A13" i="62" s="1"/>
  <c r="A14" i="62" s="1"/>
  <c r="A15" i="62" s="1"/>
  <c r="A16" i="62" s="1"/>
  <c r="A17" i="62" s="1"/>
  <c r="A18" i="62" s="1"/>
  <c r="A19" i="62" s="1"/>
  <c r="A20" i="62" s="1"/>
  <c r="A21" i="62" s="1"/>
  <c r="A22" i="62" s="1"/>
  <c r="A23" i="62" s="1"/>
  <c r="A24" i="62" s="1"/>
  <c r="A25" i="62" s="1"/>
  <c r="A26" i="62" s="1"/>
  <c r="A27" i="62" s="1"/>
  <c r="A28" i="62" s="1"/>
  <c r="A29" i="62" s="1"/>
  <c r="A30" i="62" s="1"/>
  <c r="A31" i="62" s="1"/>
  <c r="A32" i="62" s="1"/>
  <c r="A33" i="62" s="1"/>
  <c r="A34" i="62" s="1"/>
  <c r="A35" i="62" s="1"/>
  <c r="A36" i="62" s="1"/>
  <c r="A37" i="62" s="1"/>
  <c r="A38" i="62" s="1"/>
  <c r="A39" i="62" s="1"/>
  <c r="A40" i="62" s="1"/>
  <c r="A41" i="62" s="1"/>
  <c r="A42" i="62" s="1"/>
  <c r="A43" i="62" s="1"/>
  <c r="A44" i="62" s="1"/>
  <c r="A45" i="62" s="1"/>
  <c r="A46" i="62" s="1"/>
  <c r="A47" i="62" s="1"/>
  <c r="A48" i="62" s="1"/>
  <c r="A49" i="62" s="1"/>
  <c r="A50" i="62" s="1"/>
  <c r="A51" i="62" s="1"/>
  <c r="A52" i="62" s="1"/>
  <c r="A53" i="62" s="1"/>
  <c r="A54" i="62" s="1"/>
  <c r="A55" i="62" s="1"/>
  <c r="A56" i="62" s="1"/>
  <c r="A57" i="62" s="1"/>
  <c r="A58" i="62" s="1"/>
  <c r="A59" i="62" s="1"/>
  <c r="A60" i="62" s="1"/>
  <c r="A61" i="62" s="1"/>
  <c r="A62" i="62" s="1"/>
  <c r="A63" i="62" s="1"/>
  <c r="A64" i="62" s="1"/>
  <c r="A65" i="62" s="1"/>
  <c r="A66" i="62" s="1"/>
  <c r="A67" i="62" s="1"/>
  <c r="A68" i="62" s="1"/>
  <c r="A69" i="62" s="1"/>
  <c r="A70" i="62" s="1"/>
  <c r="A71" i="62" s="1"/>
  <c r="A72" i="62" s="1"/>
  <c r="A73" i="62" s="1"/>
  <c r="A74" i="62" s="1"/>
  <c r="A75" i="62" s="1"/>
  <c r="A76" i="62" s="1"/>
  <c r="A77" i="62" s="1"/>
  <c r="A78" i="62" s="1"/>
  <c r="A79" i="62" s="1"/>
  <c r="A80" i="62" s="1"/>
  <c r="A81" i="62" s="1"/>
  <c r="A82" i="62" s="1"/>
  <c r="A83" i="62" s="1"/>
  <c r="A84" i="62" s="1"/>
  <c r="A85" i="62" s="1"/>
  <c r="A86" i="62" s="1"/>
  <c r="A87" i="62" s="1"/>
  <c r="A88" i="62" s="1"/>
  <c r="A89" i="62" s="1"/>
  <c r="A90" i="62" s="1"/>
  <c r="A91" i="62" s="1"/>
  <c r="A92" i="62" s="1"/>
  <c r="A93" i="62" s="1"/>
  <c r="A94" i="62" s="1"/>
  <c r="A95" i="62" s="1"/>
  <c r="A96" i="62" s="1"/>
  <c r="A97" i="62" s="1"/>
  <c r="A98" i="62" s="1"/>
  <c r="A99" i="62" s="1"/>
  <c r="A100" i="62" s="1"/>
  <c r="A101" i="62" s="1"/>
  <c r="A102" i="62" s="1"/>
  <c r="A103" i="62" s="1"/>
  <c r="A104" i="62" s="1"/>
  <c r="A105" i="62" s="1"/>
  <c r="A106" i="62" s="1"/>
  <c r="A107" i="62" s="1"/>
  <c r="A108" i="62" s="1"/>
  <c r="A109" i="62" s="1"/>
  <c r="A110" i="62" s="1"/>
  <c r="A111" i="62" s="1"/>
  <c r="A112" i="62" s="1"/>
  <c r="D112" i="62"/>
  <c r="D111" i="62"/>
  <c r="D110" i="62"/>
  <c r="D109" i="62"/>
  <c r="D108" i="62"/>
  <c r="D107" i="62"/>
  <c r="D106" i="62"/>
  <c r="D105" i="62"/>
  <c r="D104" i="62"/>
  <c r="D103" i="62"/>
  <c r="D102" i="62"/>
  <c r="D101" i="62"/>
  <c r="D100" i="62"/>
  <c r="D99" i="62"/>
  <c r="D98" i="62"/>
  <c r="D97" i="62"/>
  <c r="D96" i="62"/>
  <c r="D95" i="62"/>
  <c r="D94" i="62"/>
  <c r="D93" i="62"/>
  <c r="D92" i="62"/>
  <c r="D91" i="62"/>
  <c r="D90" i="62"/>
  <c r="D89" i="62"/>
  <c r="D88" i="62"/>
  <c r="D87" i="62"/>
  <c r="D86" i="62"/>
  <c r="D85" i="62"/>
  <c r="D84" i="62"/>
  <c r="D83" i="62"/>
  <c r="D82" i="62"/>
  <c r="D81" i="62"/>
  <c r="D80" i="62"/>
  <c r="D79" i="62"/>
  <c r="D78" i="62"/>
  <c r="D77" i="62"/>
  <c r="D76" i="62"/>
  <c r="D75" i="62"/>
  <c r="D74" i="62"/>
  <c r="D73" i="62"/>
  <c r="D71" i="62"/>
  <c r="D70" i="62"/>
  <c r="D69" i="62"/>
  <c r="D68" i="62"/>
  <c r="D67" i="62"/>
  <c r="D66" i="62"/>
  <c r="D65" i="62"/>
  <c r="D64" i="62"/>
  <c r="D63" i="62"/>
  <c r="D62" i="62"/>
  <c r="D61" i="62"/>
  <c r="D60" i="62"/>
  <c r="D59" i="62"/>
  <c r="D58" i="62"/>
  <c r="D57" i="62"/>
  <c r="D56" i="62"/>
  <c r="D55" i="62"/>
  <c r="D54" i="62"/>
  <c r="D53" i="62"/>
  <c r="D52" i="62"/>
  <c r="D51" i="62"/>
  <c r="D50" i="62"/>
  <c r="D49" i="62"/>
  <c r="D48" i="62"/>
  <c r="D47" i="62"/>
  <c r="D46" i="62"/>
  <c r="D45" i="62"/>
  <c r="D44" i="62"/>
  <c r="D43" i="62"/>
  <c r="D42" i="62"/>
  <c r="D41" i="62"/>
  <c r="D40" i="62"/>
  <c r="D39" i="62"/>
  <c r="D38" i="62"/>
  <c r="D37" i="62"/>
  <c r="D36" i="62"/>
  <c r="D35" i="62"/>
  <c r="D34" i="62"/>
  <c r="D33" i="62"/>
  <c r="D32" i="62"/>
  <c r="D31" i="62"/>
  <c r="D30" i="62"/>
  <c r="D29" i="62"/>
  <c r="D28" i="62"/>
  <c r="D27" i="62"/>
  <c r="D26" i="62"/>
  <c r="D25" i="62"/>
  <c r="D24" i="62"/>
  <c r="D23" i="62"/>
  <c r="D22" i="62"/>
  <c r="D21" i="62"/>
  <c r="D20" i="62"/>
  <c r="D19" i="62"/>
  <c r="D18" i="62"/>
  <c r="D17" i="62"/>
  <c r="D16" i="62"/>
  <c r="D15" i="62"/>
  <c r="D14" i="62"/>
  <c r="D13" i="62"/>
  <c r="D12" i="62"/>
  <c r="D11" i="62"/>
  <c r="D10" i="62"/>
  <c r="D9" i="62"/>
  <c r="D8" i="62"/>
  <c r="D7" i="62"/>
  <c r="D6" i="62"/>
  <c r="D5" i="62"/>
  <c r="D4" i="62"/>
  <c r="D3" i="62"/>
  <c r="D72" i="62"/>
  <c r="K76" i="46"/>
  <c r="K72" i="46"/>
  <c r="K68" i="46"/>
  <c r="K63" i="46"/>
  <c r="K59" i="46"/>
  <c r="K83" i="46"/>
  <c r="K79" i="46"/>
  <c r="I83" i="46"/>
  <c r="I79" i="46"/>
  <c r="I76" i="46"/>
  <c r="I72" i="46"/>
  <c r="I68" i="46"/>
  <c r="I63" i="46"/>
  <c r="I59" i="46"/>
  <c r="G83" i="46"/>
  <c r="G79" i="46"/>
  <c r="G76" i="46"/>
  <c r="G72" i="46"/>
  <c r="G68" i="46"/>
  <c r="G63" i="46"/>
  <c r="G59" i="46"/>
  <c r="E83" i="46"/>
  <c r="E79" i="46"/>
  <c r="E76" i="46"/>
  <c r="E72" i="46"/>
  <c r="E68" i="46"/>
  <c r="E63" i="46"/>
  <c r="E59" i="46"/>
  <c r="C83" i="46"/>
  <c r="C79" i="46"/>
  <c r="C76" i="46"/>
  <c r="C72" i="46"/>
  <c r="C68" i="46"/>
  <c r="C63" i="46"/>
  <c r="C59" i="46"/>
  <c r="K56" i="46"/>
  <c r="I56" i="46"/>
  <c r="I52" i="46"/>
  <c r="G56" i="46"/>
  <c r="E56" i="46"/>
  <c r="C56" i="46"/>
  <c r="K52" i="46"/>
  <c r="G52" i="46"/>
  <c r="E52" i="46"/>
  <c r="C52" i="46"/>
  <c r="K48" i="46"/>
  <c r="I48" i="46"/>
  <c r="G48" i="46"/>
  <c r="E48" i="46"/>
  <c r="C48" i="46"/>
  <c r="A3" i="62" l="1"/>
  <c r="Q26" i="57"/>
  <c r="R26" i="57"/>
  <c r="S26" i="57"/>
  <c r="T26" i="57"/>
  <c r="P26" i="57"/>
  <c r="E26" i="57"/>
  <c r="F26" i="57"/>
  <c r="G26" i="57"/>
  <c r="H26" i="57"/>
  <c r="D26" i="57"/>
  <c r="F33" i="56"/>
  <c r="G33" i="56"/>
  <c r="H33" i="56"/>
  <c r="I33" i="56"/>
  <c r="E33" i="56"/>
  <c r="F28" i="56"/>
  <c r="G28" i="56"/>
  <c r="H28" i="56"/>
  <c r="I28" i="56"/>
  <c r="E28" i="56"/>
  <c r="F71" i="55"/>
  <c r="G71" i="55"/>
  <c r="H71" i="55"/>
  <c r="I71" i="55"/>
  <c r="F72" i="55"/>
  <c r="G72" i="55"/>
  <c r="H72" i="55"/>
  <c r="I72" i="55"/>
  <c r="F73" i="55"/>
  <c r="G73" i="55"/>
  <c r="H73" i="55"/>
  <c r="I73" i="55"/>
  <c r="E73" i="55"/>
  <c r="E72" i="55"/>
  <c r="E71" i="55"/>
  <c r="F68" i="55"/>
  <c r="G68" i="55"/>
  <c r="H68" i="55"/>
  <c r="I68" i="55"/>
  <c r="F69" i="55"/>
  <c r="G69" i="55"/>
  <c r="H69" i="55"/>
  <c r="I69" i="55"/>
  <c r="E69" i="55"/>
  <c r="E68" i="55"/>
  <c r="AJ7" i="54"/>
  <c r="AK7" i="54"/>
  <c r="AL7" i="54"/>
  <c r="AM7" i="54"/>
  <c r="AJ8" i="54"/>
  <c r="AK8" i="54"/>
  <c r="AL8" i="54"/>
  <c r="AM8" i="54"/>
  <c r="AJ6" i="54"/>
  <c r="AK6" i="54"/>
  <c r="AL6" i="54"/>
  <c r="AM6" i="54"/>
  <c r="A5" i="61"/>
  <c r="G6" i="60"/>
  <c r="H6" i="60"/>
  <c r="I6" i="60"/>
  <c r="J6" i="60"/>
  <c r="G7" i="60"/>
  <c r="H7" i="60"/>
  <c r="I7" i="60"/>
  <c r="J7" i="60"/>
  <c r="G8" i="60"/>
  <c r="H8" i="60"/>
  <c r="I8" i="60"/>
  <c r="J8" i="60"/>
  <c r="G9" i="60"/>
  <c r="H9" i="60"/>
  <c r="I9" i="60"/>
  <c r="J9" i="60"/>
  <c r="G5" i="60"/>
  <c r="H5" i="60"/>
  <c r="I5" i="60"/>
  <c r="J5" i="60"/>
  <c r="A5" i="60"/>
  <c r="B8" i="57"/>
  <c r="Q4" i="57"/>
  <c r="R4" i="57"/>
  <c r="S4" i="57"/>
  <c r="T4" i="57"/>
  <c r="E4" i="57"/>
  <c r="F4" i="57"/>
  <c r="G4" i="57"/>
  <c r="H4" i="57"/>
  <c r="D4" i="57"/>
  <c r="P4" i="57"/>
  <c r="F62" i="56"/>
  <c r="G62" i="56"/>
  <c r="H62" i="56"/>
  <c r="I62" i="56"/>
  <c r="J62" i="56"/>
  <c r="E62" i="56"/>
  <c r="F56" i="56"/>
  <c r="G56" i="56"/>
  <c r="H56" i="56"/>
  <c r="I56" i="56"/>
  <c r="F57" i="56"/>
  <c r="G57" i="56"/>
  <c r="H57" i="56"/>
  <c r="I57" i="56"/>
  <c r="E57" i="56"/>
  <c r="E56" i="56"/>
  <c r="F48" i="56"/>
  <c r="G48" i="56"/>
  <c r="H48" i="56"/>
  <c r="I48" i="56"/>
  <c r="E48" i="56"/>
  <c r="E47" i="56"/>
  <c r="F42" i="56"/>
  <c r="G42" i="56"/>
  <c r="H42" i="56"/>
  <c r="I42" i="56"/>
  <c r="F43" i="56"/>
  <c r="G43" i="56"/>
  <c r="H43" i="56"/>
  <c r="I43" i="56"/>
  <c r="E43" i="56"/>
  <c r="E42" i="56"/>
  <c r="F32" i="56"/>
  <c r="G32" i="56"/>
  <c r="H32" i="56"/>
  <c r="I32" i="56"/>
  <c r="E32" i="56"/>
  <c r="C6" i="56"/>
  <c r="F70" i="55"/>
  <c r="G70" i="55"/>
  <c r="H70" i="55"/>
  <c r="I70" i="55"/>
  <c r="F74" i="55"/>
  <c r="G74" i="55"/>
  <c r="H74" i="55"/>
  <c r="I74" i="55"/>
  <c r="E70" i="55"/>
  <c r="E74" i="55"/>
  <c r="AB6" i="54"/>
  <c r="AB7" i="54"/>
  <c r="AB8" i="54"/>
  <c r="R6" i="54"/>
  <c r="S6" i="54"/>
  <c r="T6" i="54"/>
  <c r="U6" i="54"/>
  <c r="V6" i="54"/>
  <c r="R7" i="54"/>
  <c r="S7" i="54"/>
  <c r="T7" i="54"/>
  <c r="U7" i="54"/>
  <c r="V7" i="54"/>
  <c r="R8" i="54"/>
  <c r="S8" i="54"/>
  <c r="T8" i="54"/>
  <c r="U8" i="54"/>
  <c r="V8" i="54"/>
  <c r="Q8" i="54"/>
  <c r="Q7" i="54"/>
  <c r="Q6" i="54"/>
  <c r="B323" i="39"/>
  <c r="P319" i="39"/>
  <c r="B147" i="43"/>
  <c r="Z4" i="59" l="1"/>
  <c r="AA4" i="59"/>
  <c r="AB4" i="59"/>
  <c r="AC4" i="59"/>
  <c r="AD4" i="59"/>
  <c r="AE4" i="59"/>
  <c r="AF4" i="59"/>
  <c r="Z5" i="59"/>
  <c r="AA5" i="59"/>
  <c r="AB5" i="59"/>
  <c r="AC5" i="59"/>
  <c r="AD5" i="59"/>
  <c r="AE5" i="59"/>
  <c r="AF5" i="59"/>
  <c r="Z6" i="59"/>
  <c r="AA6" i="59"/>
  <c r="AB6" i="59"/>
  <c r="AC6" i="59"/>
  <c r="AD6" i="59"/>
  <c r="AE6" i="59"/>
  <c r="AF6" i="59"/>
  <c r="Z7" i="59"/>
  <c r="AA7" i="59"/>
  <c r="AB7" i="59"/>
  <c r="AC7" i="59"/>
  <c r="AD7" i="59"/>
  <c r="AE7" i="59"/>
  <c r="AF7" i="59"/>
  <c r="Z8" i="59"/>
  <c r="AA8" i="59"/>
  <c r="AB8" i="59"/>
  <c r="AC8" i="59"/>
  <c r="AD8" i="59"/>
  <c r="AE8" i="59"/>
  <c r="AF8" i="59"/>
  <c r="Z9" i="59"/>
  <c r="AA9" i="59"/>
  <c r="AB9" i="59"/>
  <c r="AC9" i="59"/>
  <c r="AD9" i="59"/>
  <c r="AE9" i="59"/>
  <c r="AF9" i="59"/>
  <c r="Z10" i="59"/>
  <c r="AA10" i="59"/>
  <c r="AB10" i="59"/>
  <c r="AC10" i="59"/>
  <c r="AD10" i="59"/>
  <c r="AE10" i="59"/>
  <c r="AF10" i="59"/>
  <c r="Z11" i="59"/>
  <c r="AA11" i="59"/>
  <c r="AB11" i="59"/>
  <c r="AC11" i="59"/>
  <c r="AD11" i="59"/>
  <c r="AE11" i="59"/>
  <c r="AF11" i="59"/>
  <c r="Z12" i="59"/>
  <c r="AA12" i="59"/>
  <c r="AB12" i="59"/>
  <c r="AC12" i="59"/>
  <c r="AD12" i="59"/>
  <c r="AE12" i="59"/>
  <c r="AF12" i="59"/>
  <c r="Y4" i="59"/>
  <c r="Y5" i="59"/>
  <c r="Y6" i="59"/>
  <c r="Y7" i="59"/>
  <c r="Y8" i="59"/>
  <c r="Y9" i="59"/>
  <c r="Y10" i="59"/>
  <c r="Y11" i="59"/>
  <c r="Y12" i="59"/>
  <c r="R4" i="59"/>
  <c r="S4" i="59"/>
  <c r="T4" i="59"/>
  <c r="U4" i="59"/>
  <c r="V4" i="59"/>
  <c r="W4" i="59"/>
  <c r="X4" i="59"/>
  <c r="R5" i="59"/>
  <c r="S5" i="59"/>
  <c r="T5" i="59"/>
  <c r="U5" i="59"/>
  <c r="V5" i="59"/>
  <c r="W5" i="59"/>
  <c r="X5" i="59"/>
  <c r="R6" i="59"/>
  <c r="S6" i="59"/>
  <c r="T6" i="59"/>
  <c r="U6" i="59"/>
  <c r="V6" i="59"/>
  <c r="W6" i="59"/>
  <c r="X6" i="59"/>
  <c r="R7" i="59"/>
  <c r="S7" i="59"/>
  <c r="T7" i="59"/>
  <c r="U7" i="59"/>
  <c r="V7" i="59"/>
  <c r="W7" i="59"/>
  <c r="X7" i="59"/>
  <c r="R8" i="59"/>
  <c r="S8" i="59"/>
  <c r="T8" i="59"/>
  <c r="U8" i="59"/>
  <c r="V8" i="59"/>
  <c r="W8" i="59"/>
  <c r="X8" i="59"/>
  <c r="R9" i="59"/>
  <c r="S9" i="59"/>
  <c r="T9" i="59"/>
  <c r="U9" i="59"/>
  <c r="V9" i="59"/>
  <c r="W9" i="59"/>
  <c r="X9" i="59"/>
  <c r="R10" i="59"/>
  <c r="S10" i="59"/>
  <c r="T10" i="59"/>
  <c r="U10" i="59"/>
  <c r="V10" i="59"/>
  <c r="W10" i="59"/>
  <c r="X10" i="59"/>
  <c r="R11" i="59"/>
  <c r="AH11" i="59" s="1"/>
  <c r="S11" i="59"/>
  <c r="T11" i="59"/>
  <c r="U11" i="59"/>
  <c r="V11" i="59"/>
  <c r="W11" i="59"/>
  <c r="X11" i="59"/>
  <c r="R12" i="59"/>
  <c r="S12" i="59"/>
  <c r="T12" i="59"/>
  <c r="U12" i="59"/>
  <c r="V12" i="59"/>
  <c r="W12" i="59"/>
  <c r="X12" i="59"/>
  <c r="Q12" i="59"/>
  <c r="Q11" i="59"/>
  <c r="Q10" i="59"/>
  <c r="Q9" i="59"/>
  <c r="Q8" i="59"/>
  <c r="Q7" i="59"/>
  <c r="Q6" i="59"/>
  <c r="Q5" i="59"/>
  <c r="Q4" i="59"/>
  <c r="AJ11" i="59"/>
  <c r="AK11" i="59"/>
  <c r="AL11" i="59"/>
  <c r="AM11" i="59"/>
  <c r="AN11" i="59"/>
  <c r="AI11" i="59"/>
  <c r="A4" i="59"/>
  <c r="H12" i="58"/>
  <c r="G12" i="58"/>
  <c r="F12" i="58"/>
  <c r="E12" i="58"/>
  <c r="D12" i="58"/>
  <c r="I8" i="58"/>
  <c r="H8" i="58"/>
  <c r="G8" i="58"/>
  <c r="F8" i="58"/>
  <c r="E8" i="58"/>
  <c r="D8" i="58"/>
  <c r="C8" i="58"/>
  <c r="Q23" i="57"/>
  <c r="R23" i="57"/>
  <c r="S23" i="57"/>
  <c r="T23" i="57"/>
  <c r="Q24" i="57"/>
  <c r="R24" i="57"/>
  <c r="S24" i="57"/>
  <c r="T24" i="57"/>
  <c r="Q25" i="57"/>
  <c r="R25" i="57"/>
  <c r="S25" i="57"/>
  <c r="T25" i="57"/>
  <c r="P24" i="57"/>
  <c r="P25" i="57"/>
  <c r="P23" i="57"/>
  <c r="D24" i="57"/>
  <c r="E24" i="57"/>
  <c r="F24" i="57"/>
  <c r="G24" i="57"/>
  <c r="H24" i="57"/>
  <c r="D25" i="57"/>
  <c r="E25" i="57"/>
  <c r="F25" i="57"/>
  <c r="G25" i="57"/>
  <c r="H25" i="57"/>
  <c r="E23" i="57"/>
  <c r="F23" i="57"/>
  <c r="G23" i="57"/>
  <c r="H23" i="57"/>
  <c r="D23" i="57"/>
  <c r="B24" i="57"/>
  <c r="B25" i="57"/>
  <c r="B23" i="57"/>
  <c r="F27" i="56"/>
  <c r="G27" i="56"/>
  <c r="H27" i="56"/>
  <c r="I27" i="56"/>
  <c r="E27" i="56"/>
  <c r="I14" i="52"/>
  <c r="H14" i="52"/>
  <c r="O311" i="47"/>
  <c r="H334" i="39"/>
  <c r="G334" i="39"/>
  <c r="F334" i="39"/>
  <c r="H328" i="39"/>
  <c r="G328" i="39"/>
  <c r="F328" i="39"/>
  <c r="AG11" i="59" l="1"/>
  <c r="O319" i="39"/>
  <c r="B318" i="39" s="1"/>
  <c r="L321" i="39"/>
  <c r="K321" i="39"/>
  <c r="J321" i="39"/>
  <c r="I321" i="39"/>
  <c r="H321" i="39"/>
  <c r="G321" i="39"/>
  <c r="F321" i="39"/>
  <c r="E321" i="39"/>
  <c r="B321" i="39"/>
  <c r="B320" i="39"/>
  <c r="B319" i="39"/>
  <c r="B282" i="39" l="1"/>
  <c r="B287" i="39" s="1"/>
  <c r="B292" i="39" s="1"/>
  <c r="B297" i="39" s="1"/>
  <c r="B302" i="39" s="1"/>
  <c r="B307" i="39" s="1"/>
  <c r="B312" i="39" s="1"/>
  <c r="B317" i="39" s="1"/>
  <c r="B322" i="39" s="1"/>
  <c r="J14" i="52"/>
  <c r="F58" i="56"/>
  <c r="H58" i="56"/>
  <c r="I58" i="56"/>
  <c r="E58" i="56"/>
  <c r="F53" i="56"/>
  <c r="G53" i="56"/>
  <c r="H53" i="56"/>
  <c r="F38" i="56"/>
  <c r="G38" i="56"/>
  <c r="H38" i="56"/>
  <c r="I38" i="56"/>
  <c r="E38" i="56"/>
  <c r="F37" i="56"/>
  <c r="G37" i="56"/>
  <c r="H37" i="56"/>
  <c r="I37" i="56"/>
  <c r="E37" i="56"/>
  <c r="F15" i="56"/>
  <c r="G15" i="56"/>
  <c r="H15" i="56"/>
  <c r="I15" i="56"/>
  <c r="E15" i="56"/>
  <c r="F11" i="56"/>
  <c r="F14" i="56" s="1"/>
  <c r="F52" i="56" s="1"/>
  <c r="G11" i="56"/>
  <c r="H11" i="56"/>
  <c r="I11" i="56"/>
  <c r="F12" i="56"/>
  <c r="G12" i="56"/>
  <c r="H12" i="56"/>
  <c r="I12" i="56"/>
  <c r="F13" i="56"/>
  <c r="G13" i="56"/>
  <c r="H13" i="56"/>
  <c r="I13" i="56"/>
  <c r="E12" i="56"/>
  <c r="E13" i="56"/>
  <c r="E11" i="56"/>
  <c r="F8" i="56"/>
  <c r="F23" i="56" s="1"/>
  <c r="G8" i="56"/>
  <c r="H8" i="56"/>
  <c r="H21" i="56" s="1"/>
  <c r="I8" i="56"/>
  <c r="I20" i="56" s="1"/>
  <c r="E8" i="56"/>
  <c r="E20" i="56" s="1"/>
  <c r="R39" i="55"/>
  <c r="S39" i="55"/>
  <c r="T39" i="55"/>
  <c r="U39" i="55"/>
  <c r="R40" i="55"/>
  <c r="S40" i="55"/>
  <c r="T40" i="55"/>
  <c r="U40" i="55"/>
  <c r="R41" i="55"/>
  <c r="S41" i="55"/>
  <c r="T41" i="55"/>
  <c r="U41" i="55"/>
  <c r="Q40" i="55"/>
  <c r="Q41" i="55"/>
  <c r="Q39" i="55"/>
  <c r="F39" i="55"/>
  <c r="G39" i="55"/>
  <c r="H39" i="55"/>
  <c r="I39" i="55"/>
  <c r="F40" i="55"/>
  <c r="G40" i="55"/>
  <c r="H40" i="55"/>
  <c r="I40" i="55"/>
  <c r="F41" i="55"/>
  <c r="G41" i="55"/>
  <c r="H41" i="55"/>
  <c r="I41" i="55"/>
  <c r="E40" i="55"/>
  <c r="E41" i="55"/>
  <c r="E39" i="55"/>
  <c r="R36" i="55"/>
  <c r="S36" i="55"/>
  <c r="T36" i="55"/>
  <c r="U36" i="55"/>
  <c r="Q36" i="55"/>
  <c r="R33" i="55"/>
  <c r="S33" i="55"/>
  <c r="T33" i="55"/>
  <c r="U33" i="55"/>
  <c r="R34" i="55"/>
  <c r="S34" i="55"/>
  <c r="T34" i="55"/>
  <c r="U34" i="55"/>
  <c r="Q34" i="55"/>
  <c r="Q33" i="55"/>
  <c r="F36" i="55"/>
  <c r="G36" i="55"/>
  <c r="H36" i="55"/>
  <c r="I36" i="55"/>
  <c r="E36" i="55"/>
  <c r="E34" i="55"/>
  <c r="F34" i="55"/>
  <c r="G34" i="55"/>
  <c r="H34" i="55"/>
  <c r="I34" i="55"/>
  <c r="F33" i="55"/>
  <c r="G33" i="55"/>
  <c r="H33" i="55"/>
  <c r="I33" i="55"/>
  <c r="E33" i="55"/>
  <c r="R30" i="55"/>
  <c r="R53" i="55" s="1"/>
  <c r="S30" i="55"/>
  <c r="S52" i="55" s="1"/>
  <c r="T30" i="55"/>
  <c r="U30" i="55"/>
  <c r="Q30" i="55"/>
  <c r="F30" i="55"/>
  <c r="G30" i="55"/>
  <c r="H30" i="55"/>
  <c r="I30" i="55"/>
  <c r="E30" i="55"/>
  <c r="R13" i="55"/>
  <c r="S13" i="55"/>
  <c r="T13" i="55"/>
  <c r="U13" i="55"/>
  <c r="R15" i="55"/>
  <c r="S15" i="55"/>
  <c r="T15" i="55"/>
  <c r="U15" i="55"/>
  <c r="R16" i="55"/>
  <c r="S16" i="55"/>
  <c r="T16" i="55"/>
  <c r="U16" i="55"/>
  <c r="R17" i="55"/>
  <c r="R25" i="55" s="1"/>
  <c r="S17" i="55"/>
  <c r="T17" i="55"/>
  <c r="U17" i="55"/>
  <c r="Q16" i="55"/>
  <c r="Q24" i="55" s="1"/>
  <c r="Q17" i="55"/>
  <c r="Q15" i="55"/>
  <c r="Q23" i="55" s="1"/>
  <c r="Q13" i="55"/>
  <c r="F13" i="55"/>
  <c r="G13" i="55"/>
  <c r="H13" i="55"/>
  <c r="I13" i="55"/>
  <c r="F15" i="55"/>
  <c r="G15" i="55"/>
  <c r="H15" i="55"/>
  <c r="I15" i="55"/>
  <c r="F16" i="55"/>
  <c r="F24" i="55" s="1"/>
  <c r="G16" i="55"/>
  <c r="H16" i="55"/>
  <c r="I16" i="55"/>
  <c r="F17" i="55"/>
  <c r="G17" i="55"/>
  <c r="H17" i="55"/>
  <c r="I17" i="55"/>
  <c r="E16" i="55"/>
  <c r="E17" i="55"/>
  <c r="E15" i="55"/>
  <c r="E13" i="55"/>
  <c r="R10" i="55"/>
  <c r="S10" i="55"/>
  <c r="T10" i="55"/>
  <c r="U10" i="55"/>
  <c r="U24" i="55" s="1"/>
  <c r="Q10" i="55"/>
  <c r="F10" i="55"/>
  <c r="G10" i="55"/>
  <c r="H10" i="55"/>
  <c r="I10" i="55"/>
  <c r="E10" i="55"/>
  <c r="C6" i="55"/>
  <c r="O6" i="55" s="1"/>
  <c r="X6" i="54"/>
  <c r="Y6" i="54"/>
  <c r="Z6" i="54"/>
  <c r="AA6" i="54"/>
  <c r="X7" i="54"/>
  <c r="Y7" i="54"/>
  <c r="Z7" i="54"/>
  <c r="AA7" i="54"/>
  <c r="X8" i="54"/>
  <c r="Y8" i="54"/>
  <c r="Z8" i="54"/>
  <c r="AA8" i="54"/>
  <c r="W8" i="54"/>
  <c r="AI8" i="54" s="1"/>
  <c r="W7" i="54"/>
  <c r="AI7" i="54" s="1"/>
  <c r="W6" i="54"/>
  <c r="AI6" i="54" s="1"/>
  <c r="A6" i="54"/>
  <c r="A6" i="53"/>
  <c r="A7" i="53" s="1"/>
  <c r="A8" i="53" s="1"/>
  <c r="A9" i="53" s="1"/>
  <c r="B14" i="57"/>
  <c r="R27" i="57"/>
  <c r="R16" i="57" s="1"/>
  <c r="Q15" i="57"/>
  <c r="P15" i="57"/>
  <c r="T14" i="57"/>
  <c r="Q14" i="57"/>
  <c r="T12" i="57"/>
  <c r="H27" i="57"/>
  <c r="G13" i="57"/>
  <c r="R14" i="57"/>
  <c r="Q12" i="57"/>
  <c r="P12" i="57"/>
  <c r="F13" i="57"/>
  <c r="E15" i="57"/>
  <c r="D13" i="57"/>
  <c r="H14" i="56"/>
  <c r="G14" i="56"/>
  <c r="AF9" i="61"/>
  <c r="AE9" i="61"/>
  <c r="AM9" i="61" s="1"/>
  <c r="AD9" i="61"/>
  <c r="AL9" i="61" s="1"/>
  <c r="AC9" i="61"/>
  <c r="AB9" i="61"/>
  <c r="AA9" i="61"/>
  <c r="Z9" i="61"/>
  <c r="Y9" i="61"/>
  <c r="X9" i="61"/>
  <c r="W9" i="61"/>
  <c r="V9" i="61"/>
  <c r="U9" i="61"/>
  <c r="T9" i="61"/>
  <c r="S9" i="61"/>
  <c r="R9" i="61"/>
  <c r="Q9" i="61"/>
  <c r="N9" i="61"/>
  <c r="AF8" i="61"/>
  <c r="AE8" i="61"/>
  <c r="AM8" i="61" s="1"/>
  <c r="AD8" i="61"/>
  <c r="AC8" i="61"/>
  <c r="AB8" i="61"/>
  <c r="AA8" i="61"/>
  <c r="Z8" i="61"/>
  <c r="Y8" i="61"/>
  <c r="X8" i="61"/>
  <c r="W8" i="61"/>
  <c r="V8" i="61"/>
  <c r="U8" i="61"/>
  <c r="T8" i="61"/>
  <c r="S8" i="61"/>
  <c r="AI8" i="61" s="1"/>
  <c r="R8" i="61"/>
  <c r="AH8" i="61" s="1"/>
  <c r="Q8" i="61"/>
  <c r="N8" i="61"/>
  <c r="AF7" i="61"/>
  <c r="AE7" i="61"/>
  <c r="AD7" i="61"/>
  <c r="AC7" i="61"/>
  <c r="AB7" i="61"/>
  <c r="AA7" i="61"/>
  <c r="Z7" i="61"/>
  <c r="Y7" i="61"/>
  <c r="X7" i="61"/>
  <c r="W7" i="61"/>
  <c r="V7" i="61"/>
  <c r="U7" i="61"/>
  <c r="T7" i="61"/>
  <c r="S7" i="61"/>
  <c r="R7" i="61"/>
  <c r="Q7" i="61"/>
  <c r="N7" i="61"/>
  <c r="AF6" i="61"/>
  <c r="AE6" i="61"/>
  <c r="AD6" i="61"/>
  <c r="AC6" i="61"/>
  <c r="AB6" i="61"/>
  <c r="AJ6" i="61" s="1"/>
  <c r="AA6" i="61"/>
  <c r="Z6" i="61"/>
  <c r="Y6" i="61"/>
  <c r="X6" i="61"/>
  <c r="W6" i="61"/>
  <c r="V6" i="61"/>
  <c r="U6" i="61"/>
  <c r="T6" i="61"/>
  <c r="S6" i="61"/>
  <c r="R6" i="61"/>
  <c r="Q6" i="61"/>
  <c r="N6" i="61"/>
  <c r="AF5" i="61"/>
  <c r="AE5" i="61"/>
  <c r="AD5" i="61"/>
  <c r="AC5" i="61"/>
  <c r="AB5" i="61"/>
  <c r="AA5" i="61"/>
  <c r="Z5" i="61"/>
  <c r="AH5" i="61" s="1"/>
  <c r="Y5" i="61"/>
  <c r="X5" i="61"/>
  <c r="W5" i="61"/>
  <c r="V5" i="61"/>
  <c r="AL5" i="61" s="1"/>
  <c r="U5" i="61"/>
  <c r="T5" i="61"/>
  <c r="S5" i="61"/>
  <c r="R5" i="61"/>
  <c r="Q5" i="61"/>
  <c r="N5" i="61"/>
  <c r="O9" i="60"/>
  <c r="N9" i="60"/>
  <c r="M9" i="60"/>
  <c r="L9" i="60"/>
  <c r="K9" i="60"/>
  <c r="O8" i="60"/>
  <c r="N8" i="60"/>
  <c r="M8" i="60"/>
  <c r="L8" i="60"/>
  <c r="K8" i="60"/>
  <c r="O7" i="60"/>
  <c r="N7" i="60"/>
  <c r="M7" i="60"/>
  <c r="L7" i="60"/>
  <c r="K7" i="60"/>
  <c r="O6" i="60"/>
  <c r="N6" i="60"/>
  <c r="M6" i="60"/>
  <c r="L6" i="60"/>
  <c r="K6" i="60"/>
  <c r="O5" i="60"/>
  <c r="N5" i="60"/>
  <c r="M5" i="60"/>
  <c r="L5" i="60"/>
  <c r="K5" i="60"/>
  <c r="I34" i="56"/>
  <c r="H34" i="56"/>
  <c r="G34" i="56"/>
  <c r="F34" i="56"/>
  <c r="E34" i="56"/>
  <c r="I29" i="56"/>
  <c r="H29" i="56"/>
  <c r="G29" i="56"/>
  <c r="F29" i="56"/>
  <c r="E29" i="56"/>
  <c r="B5" i="61"/>
  <c r="B6" i="61" s="1"/>
  <c r="B7" i="61" s="1"/>
  <c r="B8" i="61" s="1"/>
  <c r="B9" i="61" s="1"/>
  <c r="A6" i="60"/>
  <c r="A7" i="60" s="1"/>
  <c r="A8" i="60" s="1"/>
  <c r="A9" i="60" s="1"/>
  <c r="C12" i="58"/>
  <c r="N8" i="57"/>
  <c r="P6" i="61"/>
  <c r="P7" i="61" s="1"/>
  <c r="P8" i="61" s="1"/>
  <c r="P9" i="61" s="1"/>
  <c r="G6" i="61"/>
  <c r="G7" i="61" s="1"/>
  <c r="G8" i="61" s="1"/>
  <c r="G9" i="61" s="1"/>
  <c r="C6" i="61"/>
  <c r="C7" i="61" s="1"/>
  <c r="C8" i="61" s="1"/>
  <c r="C9" i="61" s="1"/>
  <c r="C6" i="60"/>
  <c r="C7" i="60" s="1"/>
  <c r="C8" i="60" s="1"/>
  <c r="C9" i="60" s="1"/>
  <c r="B6" i="60"/>
  <c r="B7" i="60" s="1"/>
  <c r="B8" i="60" s="1"/>
  <c r="B9" i="60" s="1"/>
  <c r="O4" i="60"/>
  <c r="N4" i="60"/>
  <c r="M4" i="60"/>
  <c r="L4" i="60"/>
  <c r="K4" i="60"/>
  <c r="H5" i="59"/>
  <c r="H6" i="59" s="1"/>
  <c r="H7" i="59" s="1"/>
  <c r="H8" i="59" s="1"/>
  <c r="H9" i="59" s="1"/>
  <c r="H10" i="59" s="1"/>
  <c r="D5" i="59"/>
  <c r="D6" i="59" s="1"/>
  <c r="D7" i="59" s="1"/>
  <c r="D8" i="59" s="1"/>
  <c r="D9" i="59" s="1"/>
  <c r="D10" i="59" s="1"/>
  <c r="C5" i="59"/>
  <c r="C6" i="59" s="1"/>
  <c r="C7" i="59" s="1"/>
  <c r="C8" i="59" s="1"/>
  <c r="C9" i="59" s="1"/>
  <c r="C10" i="59" s="1"/>
  <c r="AF3" i="59"/>
  <c r="AN3" i="59" s="1"/>
  <c r="AE3" i="59"/>
  <c r="AM3" i="59" s="1"/>
  <c r="AD3" i="59"/>
  <c r="AL3" i="59" s="1"/>
  <c r="AC3" i="59"/>
  <c r="AK3" i="59" s="1"/>
  <c r="AB3" i="59"/>
  <c r="AJ3" i="59" s="1"/>
  <c r="AA3" i="59"/>
  <c r="AI3" i="59" s="1"/>
  <c r="Z3" i="59"/>
  <c r="AH3" i="59" s="1"/>
  <c r="Y3" i="59"/>
  <c r="AG3" i="59" s="1"/>
  <c r="C15" i="58"/>
  <c r="F14" i="57"/>
  <c r="Q13" i="57"/>
  <c r="N24" i="57"/>
  <c r="N13" i="57" s="1"/>
  <c r="C24" i="57"/>
  <c r="C13" i="57" s="1"/>
  <c r="J13" i="57" s="1"/>
  <c r="S12" i="57"/>
  <c r="N23" i="57"/>
  <c r="N12" i="57" s="1"/>
  <c r="N18" i="57"/>
  <c r="N16" i="57"/>
  <c r="C16" i="57"/>
  <c r="T15" i="57"/>
  <c r="O15" i="57"/>
  <c r="V15" i="57" s="1"/>
  <c r="F15" i="57"/>
  <c r="C15" i="57"/>
  <c r="J15" i="57" s="1"/>
  <c r="B15" i="57"/>
  <c r="N15" i="57" s="1"/>
  <c r="T13" i="57"/>
  <c r="S13" i="57"/>
  <c r="R13" i="57"/>
  <c r="B13" i="57"/>
  <c r="T10" i="57"/>
  <c r="S10" i="57"/>
  <c r="R10" i="57"/>
  <c r="Q10" i="57"/>
  <c r="P10" i="57"/>
  <c r="O10" i="57"/>
  <c r="V10" i="57" s="1"/>
  <c r="N10" i="57"/>
  <c r="J10" i="57"/>
  <c r="S9" i="57"/>
  <c r="P8" i="57"/>
  <c r="P13" i="57"/>
  <c r="L62" i="56"/>
  <c r="G58" i="56"/>
  <c r="C56" i="56"/>
  <c r="L55" i="56"/>
  <c r="L53" i="56"/>
  <c r="L52" i="56"/>
  <c r="L51" i="56"/>
  <c r="D49" i="56"/>
  <c r="L49" i="56" s="1"/>
  <c r="C49" i="56"/>
  <c r="D48" i="56"/>
  <c r="L48" i="56" s="1"/>
  <c r="C48" i="56"/>
  <c r="D47" i="56"/>
  <c r="L47" i="56" s="1"/>
  <c r="C47" i="56"/>
  <c r="L46" i="56"/>
  <c r="D44" i="56"/>
  <c r="L44" i="56" s="1"/>
  <c r="C44" i="56"/>
  <c r="D43" i="56"/>
  <c r="L43" i="56" s="1"/>
  <c r="C43" i="56"/>
  <c r="I53" i="56"/>
  <c r="D42" i="56"/>
  <c r="L42" i="56" s="1"/>
  <c r="C42" i="56"/>
  <c r="L41" i="56"/>
  <c r="L39" i="56"/>
  <c r="L38" i="56"/>
  <c r="L37" i="56"/>
  <c r="L36" i="56"/>
  <c r="D34" i="56"/>
  <c r="D58" i="56" s="1"/>
  <c r="L58" i="56" s="1"/>
  <c r="C34" i="56"/>
  <c r="C58" i="56" s="1"/>
  <c r="D33" i="56"/>
  <c r="C33" i="56"/>
  <c r="C57" i="56" s="1"/>
  <c r="D32" i="56"/>
  <c r="L32" i="56" s="1"/>
  <c r="C32" i="56"/>
  <c r="L31" i="56"/>
  <c r="L29" i="56"/>
  <c r="L28" i="56"/>
  <c r="L27" i="56"/>
  <c r="L26" i="56"/>
  <c r="L24" i="56"/>
  <c r="D23" i="56"/>
  <c r="L23" i="56" s="1"/>
  <c r="C23" i="56"/>
  <c r="D22" i="56"/>
  <c r="L22" i="56" s="1"/>
  <c r="C22" i="56"/>
  <c r="D21" i="56"/>
  <c r="L21" i="56" s="1"/>
  <c r="C21" i="56"/>
  <c r="L20" i="56"/>
  <c r="D20" i="56"/>
  <c r="C20" i="56"/>
  <c r="D19" i="56"/>
  <c r="L19" i="56" s="1"/>
  <c r="C19" i="56"/>
  <c r="L18" i="56"/>
  <c r="L16" i="56"/>
  <c r="L15" i="56"/>
  <c r="L14" i="56"/>
  <c r="L13" i="56"/>
  <c r="L12" i="56"/>
  <c r="L11" i="56"/>
  <c r="L10" i="56"/>
  <c r="L8" i="56"/>
  <c r="O58" i="55"/>
  <c r="O57" i="55"/>
  <c r="O56" i="55"/>
  <c r="W54" i="55"/>
  <c r="O54" i="55"/>
  <c r="D54" i="55"/>
  <c r="K54" i="55" s="1"/>
  <c r="C54" i="55"/>
  <c r="D53" i="55"/>
  <c r="K53" i="55" s="1"/>
  <c r="C53" i="55"/>
  <c r="R52" i="55"/>
  <c r="O52" i="55"/>
  <c r="D52" i="55"/>
  <c r="K52" i="55" s="1"/>
  <c r="C52" i="55"/>
  <c r="K51" i="55"/>
  <c r="D51" i="55"/>
  <c r="C51" i="55"/>
  <c r="D50" i="55"/>
  <c r="K50" i="55" s="1"/>
  <c r="C50" i="55"/>
  <c r="D49" i="55"/>
  <c r="K49" i="55" s="1"/>
  <c r="C49" i="55"/>
  <c r="W48" i="55"/>
  <c r="O48" i="55"/>
  <c r="K48" i="55"/>
  <c r="D48" i="55"/>
  <c r="C48" i="55"/>
  <c r="D47" i="55"/>
  <c r="K47" i="55" s="1"/>
  <c r="C47" i="55"/>
  <c r="D46" i="55"/>
  <c r="K46" i="55" s="1"/>
  <c r="C46" i="55"/>
  <c r="D45" i="55"/>
  <c r="K45" i="55" s="1"/>
  <c r="C45" i="55"/>
  <c r="D44" i="55"/>
  <c r="K44" i="55" s="1"/>
  <c r="C44" i="55"/>
  <c r="P42" i="55"/>
  <c r="P54" i="55" s="1"/>
  <c r="O42" i="55"/>
  <c r="K42" i="55"/>
  <c r="P41" i="55"/>
  <c r="P53" i="55" s="1"/>
  <c r="W53" i="55" s="1"/>
  <c r="O41" i="55"/>
  <c r="O53" i="55" s="1"/>
  <c r="K41" i="55"/>
  <c r="P40" i="55"/>
  <c r="P52" i="55" s="1"/>
  <c r="W52" i="55" s="1"/>
  <c r="O40" i="55"/>
  <c r="K40" i="55"/>
  <c r="P39" i="55"/>
  <c r="W39" i="55" s="1"/>
  <c r="O39" i="55"/>
  <c r="O51" i="55" s="1"/>
  <c r="K39" i="55"/>
  <c r="P38" i="55"/>
  <c r="O38" i="55"/>
  <c r="O50" i="55" s="1"/>
  <c r="K38" i="55"/>
  <c r="P37" i="55"/>
  <c r="P49" i="55" s="1"/>
  <c r="W49" i="55" s="1"/>
  <c r="O37" i="55"/>
  <c r="O49" i="55" s="1"/>
  <c r="K37" i="55"/>
  <c r="W36" i="55"/>
  <c r="P36" i="55"/>
  <c r="P48" i="55" s="1"/>
  <c r="O36" i="55"/>
  <c r="K36" i="55"/>
  <c r="P35" i="55"/>
  <c r="P47" i="55" s="1"/>
  <c r="W47" i="55" s="1"/>
  <c r="O35" i="55"/>
  <c r="O47" i="55" s="1"/>
  <c r="K35" i="55"/>
  <c r="P34" i="55"/>
  <c r="P46" i="55" s="1"/>
  <c r="W46" i="55" s="1"/>
  <c r="O34" i="55"/>
  <c r="O46" i="55" s="1"/>
  <c r="K34" i="55"/>
  <c r="P33" i="55"/>
  <c r="W33" i="55" s="1"/>
  <c r="O33" i="55"/>
  <c r="O45" i="55" s="1"/>
  <c r="K33" i="55"/>
  <c r="P32" i="55"/>
  <c r="W32" i="55" s="1"/>
  <c r="O32" i="55"/>
  <c r="K32" i="55"/>
  <c r="P30" i="55"/>
  <c r="W30" i="55" s="1"/>
  <c r="O30" i="55"/>
  <c r="K30" i="55"/>
  <c r="P28" i="55"/>
  <c r="W28" i="55" s="1"/>
  <c r="O28" i="55"/>
  <c r="K28" i="55"/>
  <c r="D26" i="55"/>
  <c r="K26" i="55" s="1"/>
  <c r="C26" i="55"/>
  <c r="P25" i="55"/>
  <c r="W25" i="55" s="1"/>
  <c r="O25" i="55"/>
  <c r="D25" i="55"/>
  <c r="K25" i="55" s="1"/>
  <c r="C25" i="55"/>
  <c r="W24" i="55"/>
  <c r="D24" i="55"/>
  <c r="K24" i="55" s="1"/>
  <c r="C24" i="55"/>
  <c r="P23" i="55"/>
  <c r="W23" i="55" s="1"/>
  <c r="O23" i="55"/>
  <c r="D23" i="55"/>
  <c r="K23" i="55" s="1"/>
  <c r="C23" i="55"/>
  <c r="D22" i="55"/>
  <c r="K22" i="55" s="1"/>
  <c r="C22" i="55"/>
  <c r="D21" i="55"/>
  <c r="K21" i="55" s="1"/>
  <c r="C21" i="55"/>
  <c r="P20" i="55"/>
  <c r="P44" i="55" s="1"/>
  <c r="W44" i="55" s="1"/>
  <c r="O20" i="55"/>
  <c r="O44" i="55" s="1"/>
  <c r="K20" i="55"/>
  <c r="W18" i="55"/>
  <c r="P18" i="55"/>
  <c r="P26" i="55" s="1"/>
  <c r="W26" i="55" s="1"/>
  <c r="O18" i="55"/>
  <c r="O26" i="55" s="1"/>
  <c r="K18" i="55"/>
  <c r="P17" i="55"/>
  <c r="W17" i="55" s="1"/>
  <c r="O17" i="55"/>
  <c r="K17" i="55"/>
  <c r="P16" i="55"/>
  <c r="P24" i="55" s="1"/>
  <c r="O16" i="55"/>
  <c r="O24" i="55" s="1"/>
  <c r="K16" i="55"/>
  <c r="P15" i="55"/>
  <c r="W15" i="55" s="1"/>
  <c r="O15" i="55"/>
  <c r="K15" i="55"/>
  <c r="P14" i="55"/>
  <c r="P22" i="55" s="1"/>
  <c r="W22" i="55" s="1"/>
  <c r="O14" i="55"/>
  <c r="O22" i="55" s="1"/>
  <c r="K14" i="55"/>
  <c r="P13" i="55"/>
  <c r="O13" i="55"/>
  <c r="O21" i="55" s="1"/>
  <c r="K13" i="55"/>
  <c r="P12" i="55"/>
  <c r="W12" i="55" s="1"/>
  <c r="O12" i="55"/>
  <c r="K12" i="55"/>
  <c r="P10" i="55"/>
  <c r="W10" i="55" s="1"/>
  <c r="O10" i="55"/>
  <c r="K10" i="55"/>
  <c r="P9" i="55"/>
  <c r="W9" i="55" s="1"/>
  <c r="O9" i="55"/>
  <c r="K9" i="55"/>
  <c r="W7" i="55"/>
  <c r="K7" i="55"/>
  <c r="AH8" i="54"/>
  <c r="AH7" i="54"/>
  <c r="H7" i="54"/>
  <c r="H8" i="54" s="1"/>
  <c r="D7" i="54"/>
  <c r="D8" i="54" s="1"/>
  <c r="C7" i="54"/>
  <c r="C8" i="54" s="1"/>
  <c r="AH6" i="54"/>
  <c r="A7" i="54"/>
  <c r="A8" i="54" s="1"/>
  <c r="B8" i="54" s="1"/>
  <c r="B7" i="53"/>
  <c r="B8" i="53" s="1"/>
  <c r="B9" i="53" s="1"/>
  <c r="H24" i="55" l="1"/>
  <c r="G24" i="55"/>
  <c r="W37" i="55"/>
  <c r="W20" i="55"/>
  <c r="W41" i="55"/>
  <c r="C12" i="59"/>
  <c r="C11" i="59"/>
  <c r="AC7" i="54"/>
  <c r="E14" i="57"/>
  <c r="R15" i="57"/>
  <c r="C66" i="55"/>
  <c r="H12" i="59"/>
  <c r="H11" i="59"/>
  <c r="AL6" i="61"/>
  <c r="AI9" i="61"/>
  <c r="I39" i="56"/>
  <c r="W42" i="55"/>
  <c r="I23" i="56"/>
  <c r="AM6" i="61"/>
  <c r="I52" i="56"/>
  <c r="AG5" i="61"/>
  <c r="AN6" i="61"/>
  <c r="I25" i="55"/>
  <c r="I14" i="56"/>
  <c r="S53" i="55"/>
  <c r="L34" i="56"/>
  <c r="AJ7" i="61"/>
  <c r="S15" i="57"/>
  <c r="F45" i="55"/>
  <c r="W16" i="55"/>
  <c r="D15" i="57"/>
  <c r="D14" i="57"/>
  <c r="AG9" i="61"/>
  <c r="D12" i="59"/>
  <c r="D11" i="59"/>
  <c r="W35" i="55"/>
  <c r="AK5" i="61"/>
  <c r="AM5" i="61"/>
  <c r="AH6" i="61"/>
  <c r="Q25" i="55"/>
  <c r="S46" i="55"/>
  <c r="AG7" i="54"/>
  <c r="AI6" i="61"/>
  <c r="AC6" i="54"/>
  <c r="AK4" i="59"/>
  <c r="AD6" i="54"/>
  <c r="AH4" i="59"/>
  <c r="AI7" i="61"/>
  <c r="AL8" i="61"/>
  <c r="AG6" i="61"/>
  <c r="AK7" i="61"/>
  <c r="AJ9" i="61"/>
  <c r="AL7" i="61"/>
  <c r="AN8" i="61"/>
  <c r="AM7" i="61"/>
  <c r="AJ8" i="61"/>
  <c r="AK9" i="61"/>
  <c r="AG4" i="59"/>
  <c r="AM4" i="59"/>
  <c r="AK6" i="61"/>
  <c r="AN7" i="61"/>
  <c r="AK8" i="61"/>
  <c r="AH9" i="61"/>
  <c r="AN4" i="59"/>
  <c r="AN9" i="61"/>
  <c r="AN5" i="61"/>
  <c r="AH7" i="61"/>
  <c r="AG8" i="61"/>
  <c r="I53" i="55"/>
  <c r="Q52" i="55"/>
  <c r="AE7" i="54"/>
  <c r="AG6" i="54"/>
  <c r="AG7" i="61"/>
  <c r="AI4" i="59"/>
  <c r="AI5" i="61"/>
  <c r="AJ4" i="59"/>
  <c r="AL4" i="59"/>
  <c r="AJ5" i="61"/>
  <c r="AC8" i="54"/>
  <c r="G44" i="56"/>
  <c r="E39" i="56"/>
  <c r="F39" i="56"/>
  <c r="E14" i="56"/>
  <c r="E52" i="56" s="1"/>
  <c r="E23" i="56"/>
  <c r="H53" i="55"/>
  <c r="G51" i="55"/>
  <c r="G53" i="55"/>
  <c r="T24" i="55"/>
  <c r="S23" i="55"/>
  <c r="R23" i="55"/>
  <c r="E24" i="55"/>
  <c r="R24" i="55"/>
  <c r="S24" i="55"/>
  <c r="S25" i="55"/>
  <c r="AG8" i="54"/>
  <c r="AF8" i="54"/>
  <c r="G45" i="55"/>
  <c r="G52" i="55"/>
  <c r="H45" i="55"/>
  <c r="I21" i="56"/>
  <c r="N25" i="57"/>
  <c r="O25" i="57" s="1"/>
  <c r="O14" i="57" s="1"/>
  <c r="V14" i="57" s="1"/>
  <c r="AE6" i="54"/>
  <c r="I23" i="55"/>
  <c r="F48" i="55"/>
  <c r="I19" i="56"/>
  <c r="R12" i="57"/>
  <c r="C25" i="57"/>
  <c r="C14" i="57" s="1"/>
  <c r="J14" i="57" s="1"/>
  <c r="G46" i="55"/>
  <c r="G48" i="55"/>
  <c r="E22" i="56"/>
  <c r="AE8" i="54"/>
  <c r="H48" i="55"/>
  <c r="F51" i="55"/>
  <c r="I22" i="56"/>
  <c r="A6" i="61"/>
  <c r="A7" i="61" s="1"/>
  <c r="A8" i="61" s="1"/>
  <c r="A9" i="61" s="1"/>
  <c r="E19" i="56"/>
  <c r="R46" i="55"/>
  <c r="H51" i="55"/>
  <c r="E21" i="56"/>
  <c r="G15" i="57"/>
  <c r="P21" i="55"/>
  <c r="W21" i="55" s="1"/>
  <c r="W13" i="55"/>
  <c r="B4" i="59"/>
  <c r="A5" i="59"/>
  <c r="F23" i="55"/>
  <c r="F25" i="55"/>
  <c r="F21" i="55"/>
  <c r="B7" i="54"/>
  <c r="AF7" i="54"/>
  <c r="F20" i="56"/>
  <c r="O23" i="57"/>
  <c r="O12" i="57" s="1"/>
  <c r="V12" i="57" s="1"/>
  <c r="H13" i="57"/>
  <c r="G14" i="57"/>
  <c r="T25" i="55"/>
  <c r="H15" i="57"/>
  <c r="H12" i="57"/>
  <c r="G23" i="55"/>
  <c r="G25" i="55"/>
  <c r="G21" i="55"/>
  <c r="T51" i="55"/>
  <c r="T48" i="55"/>
  <c r="T45" i="55"/>
  <c r="T53" i="55"/>
  <c r="T52" i="55"/>
  <c r="T46" i="55"/>
  <c r="W38" i="55"/>
  <c r="P50" i="55"/>
  <c r="W50" i="55" s="1"/>
  <c r="E53" i="56"/>
  <c r="E44" i="56"/>
  <c r="O16" i="57"/>
  <c r="V16" i="57" s="1"/>
  <c r="J16" i="57"/>
  <c r="H14" i="57"/>
  <c r="E51" i="55"/>
  <c r="E48" i="55"/>
  <c r="E45" i="55"/>
  <c r="E53" i="55"/>
  <c r="E52" i="55"/>
  <c r="E46" i="55"/>
  <c r="U51" i="55"/>
  <c r="U48" i="55"/>
  <c r="U45" i="55"/>
  <c r="U53" i="55"/>
  <c r="U52" i="55"/>
  <c r="U46" i="55"/>
  <c r="D57" i="56"/>
  <c r="L57" i="56" s="1"/>
  <c r="L33" i="56"/>
  <c r="AD8" i="54"/>
  <c r="F21" i="56"/>
  <c r="F22" i="56"/>
  <c r="F19" i="56"/>
  <c r="B6" i="54"/>
  <c r="G21" i="56"/>
  <c r="G23" i="56"/>
  <c r="G22" i="56"/>
  <c r="G19" i="56"/>
  <c r="G20" i="56"/>
  <c r="H16" i="57"/>
  <c r="P14" i="57"/>
  <c r="O24" i="57"/>
  <c r="O13" i="57" s="1"/>
  <c r="V13" i="57" s="1"/>
  <c r="Q27" i="57"/>
  <c r="Q16" i="57" s="1"/>
  <c r="AF6" i="54"/>
  <c r="AD7" i="54"/>
  <c r="I21" i="55"/>
  <c r="I24" i="55"/>
  <c r="E25" i="55"/>
  <c r="U25" i="55"/>
  <c r="I45" i="55"/>
  <c r="I48" i="55"/>
  <c r="I51" i="55"/>
  <c r="Q53" i="55"/>
  <c r="H20" i="56"/>
  <c r="H23" i="56"/>
  <c r="D56" i="56"/>
  <c r="L56" i="56" s="1"/>
  <c r="E13" i="57"/>
  <c r="F46" i="55"/>
  <c r="S14" i="57"/>
  <c r="C23" i="57"/>
  <c r="C12" i="57" s="1"/>
  <c r="J12" i="57" s="1"/>
  <c r="T27" i="57"/>
  <c r="T16" i="57" s="1"/>
  <c r="P27" i="57"/>
  <c r="P16" i="57" s="1"/>
  <c r="S27" i="57"/>
  <c r="S16" i="57" s="1"/>
  <c r="T23" i="55"/>
  <c r="H25" i="55"/>
  <c r="P45" i="55"/>
  <c r="W45" i="55" s="1"/>
  <c r="H46" i="55"/>
  <c r="P51" i="55"/>
  <c r="W51" i="55" s="1"/>
  <c r="H52" i="55"/>
  <c r="F44" i="56"/>
  <c r="H21" i="55"/>
  <c r="Q21" i="55"/>
  <c r="E23" i="55"/>
  <c r="U23" i="55"/>
  <c r="Q45" i="55"/>
  <c r="I46" i="55"/>
  <c r="Q48" i="55"/>
  <c r="Q51" i="55"/>
  <c r="I52" i="55"/>
  <c r="H19" i="56"/>
  <c r="H22" i="56"/>
  <c r="F52" i="55"/>
  <c r="W14" i="55"/>
  <c r="R21" i="55"/>
  <c r="R45" i="55"/>
  <c r="R48" i="55"/>
  <c r="R51" i="55"/>
  <c r="F53" i="55"/>
  <c r="H44" i="56"/>
  <c r="B12" i="57"/>
  <c r="S21" i="55"/>
  <c r="S45" i="55"/>
  <c r="S48" i="55"/>
  <c r="S51" i="55"/>
  <c r="I44" i="56"/>
  <c r="T21" i="55"/>
  <c r="H23" i="55"/>
  <c r="W34" i="55"/>
  <c r="W40" i="55"/>
  <c r="E21" i="55"/>
  <c r="U21" i="55"/>
  <c r="Q46" i="55"/>
  <c r="N14" i="57" l="1"/>
  <c r="A6" i="59"/>
  <c r="B5" i="59"/>
  <c r="B6" i="59" l="1"/>
  <c r="A7" i="59"/>
  <c r="A8" i="59" l="1"/>
  <c r="B7" i="59"/>
  <c r="A9" i="59" l="1"/>
  <c r="B8" i="59"/>
  <c r="B9" i="59" l="1"/>
  <c r="A10" i="59"/>
  <c r="A11" i="59" s="1"/>
  <c r="B11" i="59" s="1"/>
  <c r="A12" i="59" l="1"/>
  <c r="B12" i="59" s="1"/>
  <c r="B10" i="59"/>
  <c r="B24" i="49" l="1"/>
  <c r="B23" i="49"/>
  <c r="B22" i="49"/>
  <c r="J165" i="48"/>
  <c r="E165" i="48"/>
  <c r="B165" i="48"/>
  <c r="P34" i="39"/>
  <c r="H10" i="48" l="1"/>
  <c r="B10" i="52"/>
  <c r="H336" i="39"/>
  <c r="G336" i="39"/>
  <c r="F336" i="39"/>
  <c r="H330" i="39"/>
  <c r="G330" i="39"/>
  <c r="F330" i="39"/>
  <c r="H267" i="39"/>
  <c r="G267" i="39"/>
  <c r="F267" i="39"/>
  <c r="H261" i="39"/>
  <c r="G261" i="39"/>
  <c r="F261" i="39"/>
  <c r="H38" i="39" l="1"/>
  <c r="I38" i="39"/>
  <c r="J38" i="39"/>
  <c r="K38" i="39"/>
  <c r="H37" i="39"/>
  <c r="I37" i="39"/>
  <c r="J37" i="39"/>
  <c r="K37" i="39"/>
  <c r="G38" i="39"/>
  <c r="G37" i="39"/>
  <c r="F8" i="60" l="1"/>
  <c r="F5" i="60"/>
  <c r="F7" i="60"/>
  <c r="F6" i="60"/>
  <c r="F9" i="60"/>
  <c r="L14" i="52"/>
  <c r="G14" i="52"/>
  <c r="F14" i="52"/>
  <c r="E14" i="52"/>
  <c r="D14" i="52"/>
  <c r="C14" i="52"/>
  <c r="F38" i="46"/>
  <c r="G38" i="46"/>
  <c r="H38" i="46"/>
  <c r="I38" i="46"/>
  <c r="E38" i="46"/>
  <c r="I9" i="53" s="1"/>
  <c r="M9" i="53" l="1"/>
  <c r="M8" i="53"/>
  <c r="L9" i="53"/>
  <c r="L8" i="53"/>
  <c r="K9" i="53"/>
  <c r="K8" i="53"/>
  <c r="J8" i="53"/>
  <c r="J9" i="53"/>
  <c r="O34" i="39"/>
  <c r="B34" i="39" s="1"/>
  <c r="B38" i="46" s="1"/>
  <c r="K36" i="39"/>
  <c r="J36" i="39"/>
  <c r="I36" i="39"/>
  <c r="H36" i="39"/>
  <c r="G36" i="39"/>
  <c r="E36" i="39"/>
  <c r="E35" i="39"/>
  <c r="E34" i="39"/>
  <c r="B129" i="48"/>
  <c r="B127" i="48"/>
  <c r="B125" i="48"/>
  <c r="B123" i="48"/>
  <c r="B121" i="48"/>
  <c r="K54" i="42"/>
  <c r="J54" i="42"/>
  <c r="I54" i="42"/>
  <c r="H54" i="42"/>
  <c r="G54" i="42"/>
  <c r="B29" i="42"/>
  <c r="B54" i="42" s="1"/>
  <c r="K29" i="42"/>
  <c r="J29" i="42"/>
  <c r="I29" i="42"/>
  <c r="H29" i="42"/>
  <c r="G29" i="42"/>
  <c r="K58" i="42" l="1"/>
  <c r="U14" i="55"/>
  <c r="I58" i="42"/>
  <c r="S14" i="55"/>
  <c r="J58" i="42"/>
  <c r="T14" i="55"/>
  <c r="H58" i="42"/>
  <c r="R14" i="55"/>
  <c r="G58" i="42"/>
  <c r="Q14" i="55"/>
  <c r="H33" i="42"/>
  <c r="F14" i="55"/>
  <c r="I33" i="42"/>
  <c r="G14" i="55"/>
  <c r="J33" i="42"/>
  <c r="H14" i="55"/>
  <c r="K33" i="42"/>
  <c r="I14" i="55"/>
  <c r="G33" i="42"/>
  <c r="E14" i="55"/>
  <c r="H48" i="42"/>
  <c r="I48" i="42"/>
  <c r="J48" i="42"/>
  <c r="K48" i="42"/>
  <c r="G48" i="42"/>
  <c r="H23" i="42"/>
  <c r="I23" i="42"/>
  <c r="J23" i="42"/>
  <c r="K23" i="42"/>
  <c r="G23" i="42"/>
  <c r="B35" i="42"/>
  <c r="B222" i="42" s="1"/>
  <c r="B86" i="47"/>
  <c r="K39" i="39"/>
  <c r="J39" i="39"/>
  <c r="I39" i="39"/>
  <c r="H39" i="39"/>
  <c r="G39" i="39"/>
  <c r="E39" i="39"/>
  <c r="E38" i="39"/>
  <c r="E37" i="39"/>
  <c r="B37" i="39"/>
  <c r="B49" i="44"/>
  <c r="B40" i="44"/>
  <c r="B31" i="44"/>
  <c r="B22" i="44"/>
  <c r="B13" i="44"/>
  <c r="D12" i="44"/>
  <c r="C12" i="44"/>
  <c r="C12" i="45"/>
  <c r="P188" i="43"/>
  <c r="B53" i="39"/>
  <c r="F53" i="39"/>
  <c r="O70" i="48"/>
  <c r="P68" i="48"/>
  <c r="O68" i="48"/>
  <c r="P67" i="48"/>
  <c r="O67" i="48"/>
  <c r="P70" i="48"/>
  <c r="O298" i="47"/>
  <c r="O285" i="47"/>
  <c r="J53" i="39"/>
  <c r="K53" i="39"/>
  <c r="I53" i="39"/>
  <c r="H53" i="39"/>
  <c r="G53" i="39"/>
  <c r="S22" i="55" l="1"/>
  <c r="S18" i="55"/>
  <c r="R18" i="55"/>
  <c r="R22" i="55"/>
  <c r="T22" i="55"/>
  <c r="T18" i="55"/>
  <c r="U18" i="55"/>
  <c r="U22" i="55"/>
  <c r="Q22" i="55"/>
  <c r="Q18" i="55"/>
  <c r="I18" i="55"/>
  <c r="I22" i="55"/>
  <c r="F18" i="55"/>
  <c r="F22" i="55"/>
  <c r="E18" i="55"/>
  <c r="E22" i="55"/>
  <c r="B60" i="42"/>
  <c r="B383" i="42"/>
  <c r="B8" i="38"/>
  <c r="B6" i="38" s="1"/>
  <c r="T35" i="55" l="1"/>
  <c r="T26" i="55"/>
  <c r="R35" i="55"/>
  <c r="R26" i="55"/>
  <c r="U35" i="55"/>
  <c r="U26" i="55"/>
  <c r="S35" i="55"/>
  <c r="S26" i="55"/>
  <c r="Q35" i="55"/>
  <c r="Q26" i="55"/>
  <c r="F35" i="55"/>
  <c r="F26" i="55"/>
  <c r="I35" i="55"/>
  <c r="I26" i="55"/>
  <c r="E35" i="55"/>
  <c r="E26" i="55"/>
  <c r="O12" i="52"/>
  <c r="O88" i="47"/>
  <c r="O84" i="47"/>
  <c r="O63" i="48"/>
  <c r="B48" i="38"/>
  <c r="C50" i="38"/>
  <c r="B50" i="38"/>
  <c r="C49" i="38"/>
  <c r="B49" i="38"/>
  <c r="B46" i="38"/>
  <c r="B45" i="38" s="1"/>
  <c r="J11" i="46"/>
  <c r="H383" i="47"/>
  <c r="S47" i="55" l="1"/>
  <c r="S37" i="55"/>
  <c r="U47" i="55"/>
  <c r="U37" i="55"/>
  <c r="R47" i="55"/>
  <c r="R37" i="55"/>
  <c r="T37" i="55"/>
  <c r="T47" i="55"/>
  <c r="Q47" i="55"/>
  <c r="Q37" i="55"/>
  <c r="I37" i="55"/>
  <c r="I47" i="55"/>
  <c r="F37" i="55"/>
  <c r="F47" i="55"/>
  <c r="E47" i="55"/>
  <c r="E37" i="55"/>
  <c r="B44" i="38"/>
  <c r="B258" i="39"/>
  <c r="B264" i="39"/>
  <c r="B263" i="39"/>
  <c r="B332" i="39" s="1"/>
  <c r="B257" i="39"/>
  <c r="B326" i="39" s="1"/>
  <c r="B336" i="39"/>
  <c r="B334" i="39"/>
  <c r="B330" i="39"/>
  <c r="B328" i="39"/>
  <c r="H265" i="39"/>
  <c r="G265" i="39"/>
  <c r="F265" i="39"/>
  <c r="B267" i="39"/>
  <c r="B265" i="39"/>
  <c r="R38" i="55" l="1"/>
  <c r="R49" i="55"/>
  <c r="U38" i="55"/>
  <c r="U49" i="55"/>
  <c r="S49" i="55"/>
  <c r="S38" i="55"/>
  <c r="T38" i="55"/>
  <c r="T49" i="55"/>
  <c r="Q38" i="55"/>
  <c r="Q49" i="55"/>
  <c r="F38" i="55"/>
  <c r="F49" i="55"/>
  <c r="I38" i="55"/>
  <c r="I49" i="55"/>
  <c r="E38" i="55"/>
  <c r="E49" i="55"/>
  <c r="B43" i="38"/>
  <c r="H259" i="39"/>
  <c r="G259" i="39"/>
  <c r="F259" i="39"/>
  <c r="D66" i="38"/>
  <c r="D67" i="38"/>
  <c r="D65" i="38"/>
  <c r="D62" i="38"/>
  <c r="D63" i="38"/>
  <c r="D61" i="38"/>
  <c r="B261" i="39"/>
  <c r="B259" i="39"/>
  <c r="P58" i="47"/>
  <c r="D51" i="49"/>
  <c r="B51" i="49"/>
  <c r="T42" i="55" l="1"/>
  <c r="T54" i="55" s="1"/>
  <c r="T50" i="55"/>
  <c r="S42" i="55"/>
  <c r="S54" i="55" s="1"/>
  <c r="S50" i="55"/>
  <c r="U42" i="55"/>
  <c r="U54" i="55" s="1"/>
  <c r="U50" i="55"/>
  <c r="R42" i="55"/>
  <c r="R54" i="55" s="1"/>
  <c r="R50" i="55"/>
  <c r="Q42" i="55"/>
  <c r="Q54" i="55" s="1"/>
  <c r="Q50" i="55"/>
  <c r="I42" i="55"/>
  <c r="I54" i="55" s="1"/>
  <c r="I50" i="55"/>
  <c r="F42" i="55"/>
  <c r="F54" i="55" s="1"/>
  <c r="F50" i="55"/>
  <c r="E42" i="55"/>
  <c r="E54" i="55" s="1"/>
  <c r="E50" i="55"/>
  <c r="G327" i="39"/>
  <c r="F258" i="39"/>
  <c r="F327" i="39"/>
  <c r="G258" i="39"/>
  <c r="H327" i="39"/>
  <c r="H258" i="39"/>
  <c r="G264" i="39"/>
  <c r="G333" i="39"/>
  <c r="H333" i="39"/>
  <c r="F333" i="39"/>
  <c r="F264" i="39"/>
  <c r="H264" i="39"/>
  <c r="B42" i="38"/>
  <c r="B21" i="49"/>
  <c r="B41" i="38" l="1"/>
  <c r="B14" i="52"/>
  <c r="B40" i="38" l="1"/>
  <c r="D58" i="38"/>
  <c r="D57" i="38"/>
  <c r="G244" i="42" s="1"/>
  <c r="B244" i="42"/>
  <c r="B241" i="42"/>
  <c r="B238" i="42"/>
  <c r="B235" i="42"/>
  <c r="G233" i="42"/>
  <c r="H233" i="42" s="1"/>
  <c r="I233" i="42" s="1"/>
  <c r="B233" i="42"/>
  <c r="B372" i="42"/>
  <c r="B39" i="38" l="1"/>
  <c r="H235" i="42"/>
  <c r="K244" i="42"/>
  <c r="J244" i="42"/>
  <c r="K238" i="42"/>
  <c r="I244" i="42"/>
  <c r="H244" i="42"/>
  <c r="K241" i="42"/>
  <c r="G235" i="42"/>
  <c r="J241" i="42"/>
  <c r="K235" i="42"/>
  <c r="I241" i="42"/>
  <c r="G238" i="42"/>
  <c r="J238" i="42"/>
  <c r="I238" i="42"/>
  <c r="H238" i="42"/>
  <c r="G241" i="42"/>
  <c r="J235" i="42"/>
  <c r="H241" i="42"/>
  <c r="I235" i="42"/>
  <c r="B198" i="42"/>
  <c r="B10" i="48" l="1"/>
  <c r="F36" i="46"/>
  <c r="J7" i="53" s="1"/>
  <c r="G36" i="46"/>
  <c r="K7" i="53" s="1"/>
  <c r="H36" i="46"/>
  <c r="L7" i="53" s="1"/>
  <c r="I36" i="46"/>
  <c r="M7" i="53" s="1"/>
  <c r="F37" i="46"/>
  <c r="G37" i="46"/>
  <c r="H37" i="46"/>
  <c r="I37" i="46"/>
  <c r="F39" i="46"/>
  <c r="J10" i="53" s="1"/>
  <c r="G39" i="46"/>
  <c r="K10" i="53" s="1"/>
  <c r="H39" i="46"/>
  <c r="L10" i="53" s="1"/>
  <c r="I39" i="46"/>
  <c r="M10" i="53" s="1"/>
  <c r="E39" i="46"/>
  <c r="I10" i="53" s="1"/>
  <c r="E37" i="46"/>
  <c r="I8" i="53" s="1"/>
  <c r="E36" i="46"/>
  <c r="I7" i="53" s="1"/>
  <c r="D12" i="45"/>
  <c r="P298" i="47"/>
  <c r="P242" i="47"/>
  <c r="P368" i="47" l="1"/>
  <c r="P8" i="47" l="1"/>
  <c r="O430" i="47"/>
  <c r="K26" i="39" l="1"/>
  <c r="J26" i="39"/>
  <c r="K25" i="39"/>
  <c r="J25" i="39"/>
  <c r="P285" i="47"/>
  <c r="K23" i="37"/>
  <c r="P249" i="39"/>
  <c r="O249" i="39"/>
  <c r="P245" i="39"/>
  <c r="O245" i="39"/>
  <c r="P241" i="39"/>
  <c r="O241" i="39"/>
  <c r="P237" i="39"/>
  <c r="O237" i="39"/>
  <c r="P233" i="39"/>
  <c r="O233" i="39"/>
  <c r="B153" i="48"/>
  <c r="K56" i="39" l="1"/>
  <c r="I35" i="46"/>
  <c r="M6" i="53" s="1"/>
  <c r="P354" i="47"/>
  <c r="P340" i="47"/>
  <c r="F257" i="39" l="1"/>
  <c r="F263" i="39" s="1"/>
  <c r="B17" i="46"/>
  <c r="F68" i="48"/>
  <c r="F66" i="48"/>
  <c r="B6" i="49" l="1"/>
  <c r="B6" i="48"/>
  <c r="B172" i="47"/>
  <c r="B174" i="47"/>
  <c r="B175" i="47"/>
  <c r="B176" i="47"/>
  <c r="O122" i="42"/>
  <c r="P148" i="39"/>
  <c r="O148" i="39"/>
  <c r="O127" i="39"/>
  <c r="O58" i="37"/>
  <c r="O401" i="47"/>
  <c r="O388" i="47"/>
  <c r="O340" i="47"/>
  <c r="O193" i="47"/>
  <c r="B444" i="47"/>
  <c r="B6" i="45" l="1"/>
  <c r="B6" i="52"/>
  <c r="B6" i="47"/>
  <c r="B6" i="42"/>
  <c r="B6" i="46"/>
  <c r="B6" i="39"/>
  <c r="B6" i="44"/>
  <c r="B6" i="37"/>
  <c r="B6" i="43"/>
  <c r="O242" i="47"/>
  <c r="B121" i="43" l="1"/>
  <c r="B111" i="43"/>
  <c r="B101" i="43"/>
  <c r="B91" i="43"/>
  <c r="B81" i="43"/>
  <c r="B71" i="43"/>
  <c r="B61" i="43"/>
  <c r="B51" i="43"/>
  <c r="B41" i="43"/>
  <c r="B31" i="43"/>
  <c r="B21" i="43"/>
  <c r="D55" i="38"/>
  <c r="D54" i="38"/>
  <c r="B129" i="43"/>
  <c r="B182" i="43" l="1"/>
  <c r="B227" i="43" s="1"/>
  <c r="B28" i="43"/>
  <c r="B38" i="43"/>
  <c r="B48" i="43"/>
  <c r="B58" i="43"/>
  <c r="B68" i="43"/>
  <c r="B78" i="43"/>
  <c r="B88" i="43"/>
  <c r="B98" i="43"/>
  <c r="B108" i="43"/>
  <c r="B118" i="43"/>
  <c r="B335" i="42"/>
  <c r="B345" i="42"/>
  <c r="B325" i="42"/>
  <c r="B277" i="42"/>
  <c r="B269" i="42"/>
  <c r="B127" i="42"/>
  <c r="B157" i="42"/>
  <c r="B167" i="42"/>
  <c r="B137" i="42"/>
  <c r="B147" i="42"/>
  <c r="B125" i="42"/>
  <c r="B175" i="39"/>
  <c r="B40" i="45"/>
  <c r="B49" i="45"/>
  <c r="B22" i="45"/>
  <c r="B31" i="45"/>
  <c r="B215" i="47"/>
  <c r="B220" i="47"/>
  <c r="D31" i="49"/>
  <c r="O31" i="49" l="1"/>
  <c r="P31" i="49"/>
  <c r="P194" i="43"/>
  <c r="P192" i="43"/>
  <c r="P177" i="43"/>
  <c r="P175" i="43"/>
  <c r="P190" i="43"/>
  <c r="P173" i="43"/>
  <c r="P170" i="43"/>
  <c r="O194" i="43"/>
  <c r="O192" i="43"/>
  <c r="O190" i="43"/>
  <c r="O188" i="43"/>
  <c r="O177" i="43"/>
  <c r="O175" i="43"/>
  <c r="O173" i="43"/>
  <c r="O170" i="43"/>
  <c r="O8" i="47" l="1"/>
  <c r="D71" i="49" l="1"/>
  <c r="D65" i="49"/>
  <c r="D58" i="49"/>
  <c r="D44" i="49"/>
  <c r="D73" i="49"/>
  <c r="D68" i="49"/>
  <c r="D61" i="49"/>
  <c r="D54" i="49"/>
  <c r="D47" i="49"/>
  <c r="D77" i="49"/>
  <c r="B71" i="49"/>
  <c r="B65" i="49"/>
  <c r="B58" i="49"/>
  <c r="B44" i="49"/>
  <c r="B73" i="49"/>
  <c r="B68" i="49"/>
  <c r="B61" i="49"/>
  <c r="B54" i="49"/>
  <c r="B47" i="49"/>
  <c r="B77" i="49"/>
  <c r="B12" i="43"/>
  <c r="B41" i="46" s="1"/>
  <c r="B59" i="46"/>
  <c r="B79" i="46" s="1"/>
  <c r="B9" i="46"/>
  <c r="B8" i="46"/>
  <c r="B28" i="46"/>
  <c r="B43" i="49" l="1"/>
  <c r="B300" i="42" l="1"/>
  <c r="B179" i="42"/>
  <c r="B16" i="42"/>
  <c r="B356" i="42"/>
  <c r="B271" i="39"/>
  <c r="B217" i="39"/>
  <c r="B202" i="39"/>
  <c r="B18" i="39"/>
  <c r="B12" i="37"/>
  <c r="B2" i="37"/>
  <c r="B2" i="43" s="1"/>
  <c r="B413" i="47"/>
  <c r="B324" i="47"/>
  <c r="B205" i="47"/>
  <c r="B95" i="47"/>
  <c r="B12" i="47"/>
  <c r="B27" i="49"/>
  <c r="B8" i="49"/>
  <c r="B4" i="49"/>
  <c r="B4" i="52" s="1"/>
  <c r="B150" i="48"/>
  <c r="B132" i="48"/>
  <c r="B93" i="48"/>
  <c r="B99" i="48"/>
  <c r="B87" i="48"/>
  <c r="D89" i="48"/>
  <c r="B25" i="48"/>
  <c r="B61" i="48"/>
  <c r="C29" i="48"/>
  <c r="B5" i="48"/>
  <c r="B2" i="39" l="1"/>
  <c r="B2" i="42"/>
  <c r="C8" i="38"/>
  <c r="C48" i="38" s="1"/>
  <c r="C6" i="38"/>
  <c r="P88" i="47" s="1"/>
  <c r="B316" i="39"/>
  <c r="B315" i="39"/>
  <c r="B314" i="39"/>
  <c r="B311" i="39"/>
  <c r="B310" i="39"/>
  <c r="B309" i="39"/>
  <c r="B306" i="39"/>
  <c r="B305" i="39"/>
  <c r="B304" i="39"/>
  <c r="B301" i="39"/>
  <c r="B300" i="39"/>
  <c r="B299" i="39"/>
  <c r="B296" i="39"/>
  <c r="B295" i="39"/>
  <c r="B294" i="39"/>
  <c r="B291" i="39"/>
  <c r="B290" i="39"/>
  <c r="B289" i="39"/>
  <c r="B286" i="39"/>
  <c r="B285" i="39"/>
  <c r="B284" i="39"/>
  <c r="O314" i="39"/>
  <c r="P314" i="39"/>
  <c r="O309" i="39"/>
  <c r="P309" i="39"/>
  <c r="O304" i="39"/>
  <c r="P304" i="39"/>
  <c r="O299" i="39"/>
  <c r="P299" i="39"/>
  <c r="O294" i="39"/>
  <c r="P294" i="39"/>
  <c r="O289" i="39"/>
  <c r="B288" i="39" s="1"/>
  <c r="P289" i="39"/>
  <c r="O284" i="39"/>
  <c r="P284" i="39"/>
  <c r="B252" i="39"/>
  <c r="B251" i="39"/>
  <c r="B250" i="39"/>
  <c r="B248" i="39"/>
  <c r="B247" i="39"/>
  <c r="B246" i="39"/>
  <c r="B244" i="39"/>
  <c r="B243" i="39"/>
  <c r="B242" i="39"/>
  <c r="B240" i="39"/>
  <c r="B239" i="39"/>
  <c r="B238" i="39"/>
  <c r="B293" i="39" l="1"/>
  <c r="B308" i="39"/>
  <c r="B313" i="39"/>
  <c r="B298" i="39"/>
  <c r="B303" i="39"/>
  <c r="B283" i="39"/>
  <c r="P84" i="47"/>
  <c r="B84" i="47" s="1"/>
  <c r="P63" i="48"/>
  <c r="B88" i="47"/>
  <c r="C46" i="38"/>
  <c r="P12" i="52"/>
  <c r="B12" i="52" s="1"/>
  <c r="B73" i="48"/>
  <c r="C45" i="38" l="1"/>
  <c r="L232" i="39"/>
  <c r="B281" i="39"/>
  <c r="B280" i="39"/>
  <c r="B279" i="39"/>
  <c r="B57" i="39"/>
  <c r="C44" i="38" l="1"/>
  <c r="K232" i="39"/>
  <c r="C100" i="47"/>
  <c r="E100" i="47"/>
  <c r="G100" i="47"/>
  <c r="I100" i="47"/>
  <c r="K100" i="47"/>
  <c r="J33" i="47"/>
  <c r="G33" i="47"/>
  <c r="E33" i="47"/>
  <c r="C33" i="47"/>
  <c r="C43" i="38" l="1"/>
  <c r="J232" i="39"/>
  <c r="I33" i="46"/>
  <c r="H33" i="46"/>
  <c r="C42" i="38" l="1"/>
  <c r="I232" i="39"/>
  <c r="K118" i="42"/>
  <c r="K116" i="42"/>
  <c r="J118" i="42"/>
  <c r="J116" i="42"/>
  <c r="J113" i="42"/>
  <c r="K104" i="42"/>
  <c r="K100" i="42"/>
  <c r="K94" i="42"/>
  <c r="J104" i="42"/>
  <c r="J100" i="42"/>
  <c r="J94" i="42"/>
  <c r="K213" i="42"/>
  <c r="K215" i="42" s="1"/>
  <c r="K216" i="42" s="1"/>
  <c r="K220" i="42" s="1"/>
  <c r="J213" i="42"/>
  <c r="J215" i="42" s="1"/>
  <c r="J216" i="42" s="1"/>
  <c r="J220" i="42" s="1"/>
  <c r="K189" i="42"/>
  <c r="K191" i="42" s="1"/>
  <c r="J189" i="42"/>
  <c r="J191" i="42" s="1"/>
  <c r="K362" i="42"/>
  <c r="K21" i="42" s="1"/>
  <c r="K46" i="42" s="1"/>
  <c r="J362" i="42"/>
  <c r="J21" i="42" s="1"/>
  <c r="J46" i="42" s="1"/>
  <c r="K366" i="42"/>
  <c r="K370" i="42" s="1"/>
  <c r="J366" i="42"/>
  <c r="J370" i="42" s="1"/>
  <c r="K214" i="39"/>
  <c r="J214" i="39"/>
  <c r="K23" i="39"/>
  <c r="K51" i="39" s="1"/>
  <c r="K144" i="39" s="1"/>
  <c r="K207" i="39" s="1"/>
  <c r="H257" i="39" s="1"/>
  <c r="H263" i="39" s="1"/>
  <c r="J23" i="39"/>
  <c r="J51" i="39" s="1"/>
  <c r="J144" i="39" s="1"/>
  <c r="J207" i="39" s="1"/>
  <c r="K45" i="39"/>
  <c r="K42" i="39"/>
  <c r="K33" i="39"/>
  <c r="K30" i="39"/>
  <c r="K27" i="39"/>
  <c r="J45" i="39"/>
  <c r="J42" i="39"/>
  <c r="J33" i="39"/>
  <c r="J30" i="39"/>
  <c r="J27" i="39"/>
  <c r="K18" i="37"/>
  <c r="J18" i="37"/>
  <c r="K27" i="37"/>
  <c r="J23" i="37"/>
  <c r="J56" i="39" s="1"/>
  <c r="J107" i="42" l="1"/>
  <c r="H47" i="56"/>
  <c r="K107" i="42"/>
  <c r="I47" i="56"/>
  <c r="I49" i="56"/>
  <c r="J90" i="42"/>
  <c r="J96" i="42" s="1"/>
  <c r="J102" i="42" s="1"/>
  <c r="K90" i="42"/>
  <c r="K96" i="42" s="1"/>
  <c r="K102" i="42" s="1"/>
  <c r="C41" i="38"/>
  <c r="H232" i="39"/>
  <c r="J57" i="39"/>
  <c r="H35" i="46"/>
  <c r="L6" i="53" s="1"/>
  <c r="J192" i="42"/>
  <c r="J196" i="42" s="1"/>
  <c r="K192" i="42"/>
  <c r="K196" i="42" s="1"/>
  <c r="J115" i="42"/>
  <c r="H49" i="56" s="1"/>
  <c r="J117" i="42"/>
  <c r="K115" i="42"/>
  <c r="K117" i="42"/>
  <c r="J114" i="42"/>
  <c r="K113" i="42"/>
  <c r="K114" i="42"/>
  <c r="J27" i="37"/>
  <c r="K57" i="39"/>
  <c r="K25" i="37"/>
  <c r="K28" i="37" s="1"/>
  <c r="J25" i="37"/>
  <c r="J28" i="37" s="1"/>
  <c r="B333" i="39"/>
  <c r="B235" i="39"/>
  <c r="E41" i="39"/>
  <c r="E32" i="39"/>
  <c r="E29" i="39"/>
  <c r="K111" i="42" l="1"/>
  <c r="K185" i="42" s="1"/>
  <c r="K209" i="42" s="1"/>
  <c r="K233" i="42" s="1"/>
  <c r="H22" i="55"/>
  <c r="H18" i="55"/>
  <c r="G18" i="55"/>
  <c r="G22" i="55"/>
  <c r="F27" i="57"/>
  <c r="F16" i="57" s="1"/>
  <c r="F12" i="57"/>
  <c r="G27" i="57"/>
  <c r="G16" i="57" s="1"/>
  <c r="G12" i="57"/>
  <c r="J111" i="42"/>
  <c r="J185" i="42" s="1"/>
  <c r="J209" i="42" s="1"/>
  <c r="J233" i="42" s="1"/>
  <c r="C40" i="38"/>
  <c r="G232" i="39"/>
  <c r="P13" i="46"/>
  <c r="O13" i="46"/>
  <c r="B228" i="47"/>
  <c r="H35" i="55" l="1"/>
  <c r="H26" i="55"/>
  <c r="G35" i="55"/>
  <c r="G26" i="55"/>
  <c r="H52" i="56"/>
  <c r="H39" i="56"/>
  <c r="G39" i="56"/>
  <c r="G52" i="56"/>
  <c r="C39" i="38"/>
  <c r="E232" i="39" s="1"/>
  <c r="F232" i="39"/>
  <c r="C2" i="38"/>
  <c r="AD110" i="51"/>
  <c r="AC110" i="51"/>
  <c r="AB110" i="51"/>
  <c r="AA110" i="51"/>
  <c r="Z110" i="51"/>
  <c r="Y110" i="51"/>
  <c r="X110" i="51"/>
  <c r="AD109" i="51"/>
  <c r="AC109" i="51"/>
  <c r="AB109" i="51"/>
  <c r="AA109" i="51"/>
  <c r="Z109" i="51"/>
  <c r="Y109" i="51"/>
  <c r="X109" i="51"/>
  <c r="AD108" i="51"/>
  <c r="AC108" i="51"/>
  <c r="AB108" i="51"/>
  <c r="AA108" i="51"/>
  <c r="Z108" i="51"/>
  <c r="Y108" i="51"/>
  <c r="X108" i="51"/>
  <c r="AD107" i="51"/>
  <c r="AC107" i="51"/>
  <c r="AB107" i="51"/>
  <c r="AA107" i="51"/>
  <c r="Z107" i="51"/>
  <c r="Y107" i="51"/>
  <c r="X107" i="51"/>
  <c r="AD106" i="51"/>
  <c r="AC106" i="51"/>
  <c r="AB106" i="51"/>
  <c r="AA106" i="51"/>
  <c r="Z106" i="51"/>
  <c r="Y106" i="51"/>
  <c r="X106" i="51"/>
  <c r="W110" i="51"/>
  <c r="W109" i="51"/>
  <c r="W108" i="51"/>
  <c r="W107" i="51"/>
  <c r="W106" i="51"/>
  <c r="V110" i="51"/>
  <c r="U110" i="51"/>
  <c r="T110" i="51"/>
  <c r="S110" i="51"/>
  <c r="R110" i="51"/>
  <c r="Q110" i="51"/>
  <c r="P110" i="51"/>
  <c r="V109" i="51"/>
  <c r="U109" i="51"/>
  <c r="T109" i="51"/>
  <c r="S109" i="51"/>
  <c r="R109" i="51"/>
  <c r="Q109" i="51"/>
  <c r="P109" i="51"/>
  <c r="V108" i="51"/>
  <c r="U108" i="51"/>
  <c r="T108" i="51"/>
  <c r="S108" i="51"/>
  <c r="R108" i="51"/>
  <c r="Q108" i="51"/>
  <c r="P108" i="51"/>
  <c r="V107" i="51"/>
  <c r="U107" i="51"/>
  <c r="T107" i="51"/>
  <c r="S107" i="51"/>
  <c r="R107" i="51"/>
  <c r="Q107" i="51"/>
  <c r="P107" i="51"/>
  <c r="V106" i="51"/>
  <c r="U106" i="51"/>
  <c r="T106" i="51"/>
  <c r="S106" i="51"/>
  <c r="R106" i="51"/>
  <c r="Q106" i="51"/>
  <c r="P106" i="51"/>
  <c r="O110" i="51"/>
  <c r="O109" i="51"/>
  <c r="O108" i="51"/>
  <c r="O107" i="51"/>
  <c r="O106" i="51"/>
  <c r="L110" i="51"/>
  <c r="L109" i="51"/>
  <c r="L108" i="51"/>
  <c r="L107" i="51"/>
  <c r="L106" i="51"/>
  <c r="J108" i="51"/>
  <c r="J109" i="51" s="1"/>
  <c r="J110" i="51" s="1"/>
  <c r="J107" i="51"/>
  <c r="G37" i="55" l="1"/>
  <c r="G47" i="55"/>
  <c r="H47" i="55"/>
  <c r="H37" i="55"/>
  <c r="F8" i="51"/>
  <c r="N101" i="51"/>
  <c r="M101" i="51"/>
  <c r="N100" i="51"/>
  <c r="M100" i="51"/>
  <c r="N99" i="51"/>
  <c r="K99" i="51" s="1"/>
  <c r="M99" i="51"/>
  <c r="J99" i="51" s="1"/>
  <c r="N98" i="51"/>
  <c r="K98" i="51" s="1"/>
  <c r="M98" i="51"/>
  <c r="J98" i="51" s="1"/>
  <c r="N97" i="51"/>
  <c r="M97" i="51"/>
  <c r="L98" i="51"/>
  <c r="I98" i="51" s="1"/>
  <c r="L99" i="51"/>
  <c r="I99" i="51" s="1"/>
  <c r="L100" i="51"/>
  <c r="L101" i="51"/>
  <c r="L97" i="51"/>
  <c r="L96" i="51"/>
  <c r="M96" i="51"/>
  <c r="N96" i="51"/>
  <c r="H38" i="55" l="1"/>
  <c r="H49" i="55"/>
  <c r="G49" i="55"/>
  <c r="G38" i="55"/>
  <c r="I97" i="51"/>
  <c r="Y89" i="51"/>
  <c r="Z89" i="51"/>
  <c r="X89" i="51"/>
  <c r="U92" i="51"/>
  <c r="T92" i="51"/>
  <c r="U91" i="51"/>
  <c r="T91" i="51"/>
  <c r="U90" i="51"/>
  <c r="T90" i="51"/>
  <c r="U89" i="51"/>
  <c r="T89" i="51"/>
  <c r="S92" i="51"/>
  <c r="S91" i="51"/>
  <c r="S90" i="51"/>
  <c r="S89" i="51"/>
  <c r="R92" i="51"/>
  <c r="Q92" i="51"/>
  <c r="R91" i="51"/>
  <c r="Q91" i="51"/>
  <c r="R90" i="51"/>
  <c r="Q90" i="51"/>
  <c r="R89" i="51"/>
  <c r="Q89" i="51"/>
  <c r="P92" i="51"/>
  <c r="P91" i="51"/>
  <c r="P90" i="51"/>
  <c r="P89" i="51"/>
  <c r="L90" i="51"/>
  <c r="L91" i="51" s="1"/>
  <c r="L92" i="51" s="1"/>
  <c r="E90" i="51"/>
  <c r="E91" i="51" s="1"/>
  <c r="E92" i="51" s="1"/>
  <c r="I90" i="51"/>
  <c r="I91" i="51" s="1"/>
  <c r="I92" i="51" s="1"/>
  <c r="J90" i="51"/>
  <c r="J91" i="51" s="1"/>
  <c r="J92" i="51" s="1"/>
  <c r="D89" i="51"/>
  <c r="G42" i="55" l="1"/>
  <c r="G54" i="55" s="1"/>
  <c r="G50" i="55"/>
  <c r="H42" i="55"/>
  <c r="H54" i="55" s="1"/>
  <c r="H50" i="55"/>
  <c r="D90" i="51"/>
  <c r="D91" i="51" s="1"/>
  <c r="D92" i="51" s="1"/>
  <c r="D97" i="51"/>
  <c r="D106" i="51" s="1"/>
  <c r="D107" i="51" s="1"/>
  <c r="D108" i="51" s="1"/>
  <c r="D109" i="51" s="1"/>
  <c r="D110" i="51" s="1"/>
  <c r="M41" i="51"/>
  <c r="L41" i="51"/>
  <c r="M40" i="51"/>
  <c r="L40" i="51"/>
  <c r="M39" i="51"/>
  <c r="L39" i="51"/>
  <c r="M38" i="51"/>
  <c r="L38" i="51"/>
  <c r="K41" i="51"/>
  <c r="K40" i="51"/>
  <c r="K39" i="51"/>
  <c r="K38" i="51"/>
  <c r="H41" i="51"/>
  <c r="G41" i="51"/>
  <c r="H40" i="51"/>
  <c r="G40" i="51"/>
  <c r="H39" i="51"/>
  <c r="G39" i="51"/>
  <c r="H38" i="51"/>
  <c r="G38" i="51"/>
  <c r="F41" i="51"/>
  <c r="F40" i="51"/>
  <c r="F39" i="51"/>
  <c r="F38" i="51"/>
  <c r="R8" i="51"/>
  <c r="S8" i="51"/>
  <c r="R9" i="51"/>
  <c r="S9" i="51"/>
  <c r="R11" i="51"/>
  <c r="S11" i="51"/>
  <c r="R12" i="51"/>
  <c r="S12" i="51"/>
  <c r="R13" i="51"/>
  <c r="S13" i="51"/>
  <c r="Q13" i="51"/>
  <c r="Q12" i="51"/>
  <c r="Q11" i="51"/>
  <c r="Q9" i="51"/>
  <c r="Q8" i="51"/>
  <c r="M32" i="51"/>
  <c r="N32" i="51"/>
  <c r="M33" i="51"/>
  <c r="N33" i="51"/>
  <c r="M34" i="51"/>
  <c r="N34" i="51"/>
  <c r="L34" i="51"/>
  <c r="L33" i="51"/>
  <c r="L32" i="51"/>
  <c r="G32" i="51"/>
  <c r="H32" i="51"/>
  <c r="G33" i="51"/>
  <c r="H33" i="51"/>
  <c r="G34" i="51"/>
  <c r="H34" i="51"/>
  <c r="F34" i="51"/>
  <c r="F33" i="51"/>
  <c r="F32" i="51"/>
  <c r="M29" i="51"/>
  <c r="N29" i="51"/>
  <c r="L29" i="51"/>
  <c r="G29" i="51"/>
  <c r="H29" i="51"/>
  <c r="F29" i="51"/>
  <c r="M27" i="51"/>
  <c r="N27" i="51"/>
  <c r="L27" i="51"/>
  <c r="G27" i="51"/>
  <c r="H27" i="51"/>
  <c r="F27" i="51"/>
  <c r="M23" i="51"/>
  <c r="N23" i="51"/>
  <c r="L23" i="51"/>
  <c r="G23" i="51"/>
  <c r="H23" i="51"/>
  <c r="F23" i="51"/>
  <c r="G20" i="51"/>
  <c r="H20" i="51"/>
  <c r="M20" i="51"/>
  <c r="N20" i="51"/>
  <c r="L20" i="51"/>
  <c r="F20" i="51"/>
  <c r="M11" i="51"/>
  <c r="N11" i="51"/>
  <c r="M12" i="51"/>
  <c r="N12" i="51"/>
  <c r="M13" i="51"/>
  <c r="N13" i="51"/>
  <c r="M14" i="51"/>
  <c r="N14" i="51"/>
  <c r="M15" i="51"/>
  <c r="N15" i="51"/>
  <c r="L15" i="51"/>
  <c r="L14" i="51"/>
  <c r="L13" i="51"/>
  <c r="L11" i="51"/>
  <c r="L12" i="51"/>
  <c r="G11" i="51"/>
  <c r="J100" i="51" s="1"/>
  <c r="H11" i="51"/>
  <c r="K100" i="51" s="1"/>
  <c r="G12" i="51"/>
  <c r="J101" i="51" s="1"/>
  <c r="H12" i="51"/>
  <c r="K101" i="51" s="1"/>
  <c r="G13" i="51"/>
  <c r="H13" i="51"/>
  <c r="G14" i="51"/>
  <c r="H14" i="51"/>
  <c r="G15" i="51"/>
  <c r="H15" i="51"/>
  <c r="F15" i="51"/>
  <c r="F14" i="51"/>
  <c r="F13" i="51"/>
  <c r="F12" i="51"/>
  <c r="I101" i="51" s="1"/>
  <c r="F11" i="51"/>
  <c r="I100" i="51" s="1"/>
  <c r="F85" i="51" l="1"/>
  <c r="G85" i="51"/>
  <c r="H85" i="51"/>
  <c r="I85" i="51"/>
  <c r="J85" i="51"/>
  <c r="E85" i="51"/>
  <c r="F79" i="51"/>
  <c r="G79" i="51"/>
  <c r="F80" i="51"/>
  <c r="G80" i="51"/>
  <c r="E80" i="51"/>
  <c r="E79" i="51"/>
  <c r="F71" i="51" l="1"/>
  <c r="G71" i="51"/>
  <c r="E71" i="51"/>
  <c r="F65" i="51"/>
  <c r="G65" i="51"/>
  <c r="F66" i="51"/>
  <c r="G66" i="51"/>
  <c r="E66" i="51"/>
  <c r="E65" i="51"/>
  <c r="F60" i="51"/>
  <c r="G60" i="51"/>
  <c r="F61" i="51"/>
  <c r="G61" i="51"/>
  <c r="E61" i="51"/>
  <c r="E60" i="51"/>
  <c r="F56" i="51"/>
  <c r="G56" i="51"/>
  <c r="E56" i="51"/>
  <c r="F52" i="51"/>
  <c r="G52" i="51"/>
  <c r="E52" i="51"/>
  <c r="F50" i="51"/>
  <c r="G50" i="51"/>
  <c r="E50" i="51"/>
  <c r="M45" i="51"/>
  <c r="S45" i="51" s="1"/>
  <c r="N45" i="51"/>
  <c r="T45" i="51" s="1"/>
  <c r="M46" i="51"/>
  <c r="S46" i="51" s="1"/>
  <c r="N46" i="51"/>
  <c r="T46" i="51" s="1"/>
  <c r="M47" i="51"/>
  <c r="S47" i="51" s="1"/>
  <c r="N47" i="51"/>
  <c r="T47" i="51" s="1"/>
  <c r="M48" i="51"/>
  <c r="S48" i="51" s="1"/>
  <c r="N48" i="51"/>
  <c r="T48" i="51" s="1"/>
  <c r="M49" i="51"/>
  <c r="S49" i="51" s="1"/>
  <c r="N49" i="51"/>
  <c r="T49" i="51" s="1"/>
  <c r="M50" i="51"/>
  <c r="S50" i="51" s="1"/>
  <c r="N50" i="51"/>
  <c r="T50" i="51" s="1"/>
  <c r="L50" i="51"/>
  <c r="R50" i="51" s="1"/>
  <c r="L48" i="51"/>
  <c r="R48" i="51" s="1"/>
  <c r="L46" i="51"/>
  <c r="R46" i="51" s="1"/>
  <c r="L49" i="51"/>
  <c r="R49" i="51" s="1"/>
  <c r="L47" i="51"/>
  <c r="R47" i="51" s="1"/>
  <c r="L45" i="51"/>
  <c r="R45" i="51" s="1"/>
  <c r="M8" i="51" l="1"/>
  <c r="N8" i="51"/>
  <c r="L8" i="51"/>
  <c r="G8" i="51"/>
  <c r="J97" i="51" s="1"/>
  <c r="H8" i="51"/>
  <c r="K97" i="51" s="1"/>
  <c r="F45" i="51"/>
  <c r="G45" i="51"/>
  <c r="E45" i="51"/>
  <c r="N107" i="51" l="1"/>
  <c r="N108" i="51" s="1"/>
  <c r="N109" i="51" s="1"/>
  <c r="N110" i="51" s="1"/>
  <c r="F98" i="51"/>
  <c r="F99" i="51" s="1"/>
  <c r="F100" i="51" s="1"/>
  <c r="F101" i="51" s="1"/>
  <c r="D98" i="51"/>
  <c r="D99" i="51" s="1"/>
  <c r="D100" i="51" s="1"/>
  <c r="D101" i="51" s="1"/>
  <c r="L316" i="39" l="1"/>
  <c r="K316" i="39"/>
  <c r="J316" i="39"/>
  <c r="I316" i="39"/>
  <c r="H316" i="39"/>
  <c r="G316" i="39"/>
  <c r="F316" i="39"/>
  <c r="E316" i="39"/>
  <c r="L311" i="39"/>
  <c r="K311" i="39"/>
  <c r="J311" i="39"/>
  <c r="I311" i="39"/>
  <c r="H311" i="39"/>
  <c r="G311" i="39"/>
  <c r="F311" i="39"/>
  <c r="E311" i="39"/>
  <c r="P15" i="43" l="1"/>
  <c r="P323" i="42"/>
  <c r="P122" i="42"/>
  <c r="P396" i="42"/>
  <c r="P127" i="39"/>
  <c r="P87" i="39"/>
  <c r="P73" i="39"/>
  <c r="P58" i="37"/>
  <c r="P416" i="47"/>
  <c r="P401" i="47"/>
  <c r="P388" i="47"/>
  <c r="P327" i="47"/>
  <c r="P256" i="47"/>
  <c r="P193" i="47"/>
  <c r="O15" i="43"/>
  <c r="O323" i="42"/>
  <c r="O396" i="42"/>
  <c r="O87" i="39"/>
  <c r="O73" i="39"/>
  <c r="O416" i="47"/>
  <c r="O368" i="47"/>
  <c r="O354" i="47"/>
  <c r="O327" i="47"/>
  <c r="O256" i="47"/>
  <c r="O58" i="47"/>
  <c r="B58" i="47" l="1"/>
  <c r="G213" i="42"/>
  <c r="G215" i="42" s="1"/>
  <c r="G216" i="42" s="1"/>
  <c r="G220" i="42" s="1"/>
  <c r="G189" i="42"/>
  <c r="G191" i="42" s="1"/>
  <c r="I366" i="42"/>
  <c r="I370" i="42" s="1"/>
  <c r="H366" i="42"/>
  <c r="H370" i="42" s="1"/>
  <c r="G366" i="42"/>
  <c r="G370" i="42" s="1"/>
  <c r="E306" i="39"/>
  <c r="AG12" i="59" s="1"/>
  <c r="E301" i="39"/>
  <c r="AG10" i="59" s="1"/>
  <c r="E296" i="39"/>
  <c r="AG9" i="59" s="1"/>
  <c r="E291" i="39"/>
  <c r="AG8" i="59" s="1"/>
  <c r="E286" i="39"/>
  <c r="AG7" i="59" s="1"/>
  <c r="E281" i="39"/>
  <c r="AG6" i="59" s="1"/>
  <c r="E252" i="39"/>
  <c r="E248" i="39"/>
  <c r="E244" i="39"/>
  <c r="E240" i="39"/>
  <c r="G236" i="39"/>
  <c r="F236" i="39"/>
  <c r="E236" i="39"/>
  <c r="G192" i="42" l="1"/>
  <c r="G196" i="42" s="1"/>
  <c r="B164" i="48" l="1"/>
  <c r="E164" i="48"/>
  <c r="J164" i="48"/>
  <c r="J163" i="48"/>
  <c r="L306" i="39" l="1"/>
  <c r="AN12" i="59" s="1"/>
  <c r="K306" i="39"/>
  <c r="AM12" i="59" s="1"/>
  <c r="J306" i="39"/>
  <c r="AL12" i="59" s="1"/>
  <c r="I306" i="39"/>
  <c r="AK12" i="59" s="1"/>
  <c r="H306" i="39"/>
  <c r="AJ12" i="59" s="1"/>
  <c r="G306" i="39"/>
  <c r="AI12" i="59" s="1"/>
  <c r="F306" i="39"/>
  <c r="AH12" i="59" s="1"/>
  <c r="O279" i="39" l="1"/>
  <c r="P279" i="39"/>
  <c r="L276" i="39" l="1"/>
  <c r="AN5" i="59" s="1"/>
  <c r="B210" i="47"/>
  <c r="B208" i="47"/>
  <c r="P220" i="39" l="1"/>
  <c r="O220" i="39"/>
  <c r="K276" i="39"/>
  <c r="AM5" i="59" s="1"/>
  <c r="J276" i="39" l="1"/>
  <c r="AL5" i="59" s="1"/>
  <c r="B127" i="39"/>
  <c r="I276" i="39" l="1"/>
  <c r="AK5" i="59" s="1"/>
  <c r="H276" i="39" l="1"/>
  <c r="AJ5" i="59" s="1"/>
  <c r="P31" i="39"/>
  <c r="O31" i="39"/>
  <c r="P28" i="39"/>
  <c r="O28" i="39"/>
  <c r="G276" i="39" l="1"/>
  <c r="AI5" i="59" s="1"/>
  <c r="F276" i="39" l="1"/>
  <c r="AH5" i="59" s="1"/>
  <c r="E276" i="39" l="1"/>
  <c r="AG5" i="59" s="1"/>
  <c r="F21" i="37" l="1"/>
  <c r="F48" i="42" s="1"/>
  <c r="B21" i="37"/>
  <c r="B48" i="42" s="1"/>
  <c r="B194" i="43"/>
  <c r="B239" i="43" s="1"/>
  <c r="B192" i="43"/>
  <c r="B237" i="43" s="1"/>
  <c r="B190" i="43"/>
  <c r="B235" i="43" s="1"/>
  <c r="B188" i="43"/>
  <c r="B233" i="43" s="1"/>
  <c r="B186" i="43"/>
  <c r="B231" i="43" s="1"/>
  <c r="B180" i="43"/>
  <c r="B225" i="43" s="1"/>
  <c r="B179" i="43"/>
  <c r="B224" i="43" s="1"/>
  <c r="B177" i="43"/>
  <c r="B222" i="43" s="1"/>
  <c r="B175" i="43"/>
  <c r="B220" i="43" s="1"/>
  <c r="B173" i="43"/>
  <c r="B218" i="43" s="1"/>
  <c r="B170" i="43"/>
  <c r="B215" i="43" s="1"/>
  <c r="B168" i="43"/>
  <c r="B213" i="43" s="1"/>
  <c r="B164" i="43"/>
  <c r="B209" i="43" s="1"/>
  <c r="B163" i="43"/>
  <c r="B208" i="43" s="1"/>
  <c r="B160" i="43"/>
  <c r="B205" i="43" s="1"/>
  <c r="B158" i="43"/>
  <c r="B203" i="43" s="1"/>
  <c r="B156" i="43"/>
  <c r="B201" i="43" s="1"/>
  <c r="B154" i="43"/>
  <c r="B199" i="43" s="1"/>
  <c r="B153" i="43"/>
  <c r="B198" i="43" s="1"/>
  <c r="B152" i="43"/>
  <c r="B197" i="43" s="1"/>
  <c r="B58" i="46" l="1"/>
  <c r="B78" i="46" s="1"/>
  <c r="B51" i="46"/>
  <c r="B71" i="46" s="1"/>
  <c r="B48" i="46"/>
  <c r="B68" i="46" s="1"/>
  <c r="B52" i="46"/>
  <c r="B72" i="46" s="1"/>
  <c r="B63" i="46"/>
  <c r="B83" i="46" s="1"/>
  <c r="B46" i="46"/>
  <c r="B66" i="46" s="1"/>
  <c r="B56" i="46"/>
  <c r="B76" i="46" s="1"/>
  <c r="B47" i="46"/>
  <c r="B67" i="46" s="1"/>
  <c r="F22" i="37"/>
  <c r="B22" i="37"/>
  <c r="B430" i="47" l="1"/>
  <c r="B416" i="47" l="1"/>
  <c r="B29" i="49" l="1"/>
  <c r="L27" i="49"/>
  <c r="K27" i="49"/>
  <c r="J27" i="49"/>
  <c r="I27" i="49"/>
  <c r="H27" i="49"/>
  <c r="G27" i="49"/>
  <c r="F27" i="49"/>
  <c r="E27" i="49"/>
  <c r="D27" i="49"/>
  <c r="L19" i="49" l="1"/>
  <c r="K19" i="49"/>
  <c r="J19" i="49"/>
  <c r="I19" i="49"/>
  <c r="H19" i="49"/>
  <c r="G19" i="49"/>
  <c r="F19" i="49"/>
  <c r="E19" i="49"/>
  <c r="D19" i="49"/>
  <c r="B19" i="49"/>
  <c r="B15" i="49"/>
  <c r="B12" i="49"/>
  <c r="B10" i="49"/>
  <c r="L8" i="49"/>
  <c r="K8" i="49"/>
  <c r="J8" i="49"/>
  <c r="I8" i="49"/>
  <c r="H8" i="49"/>
  <c r="G8" i="49"/>
  <c r="F8" i="49"/>
  <c r="E8" i="49"/>
  <c r="D8" i="49"/>
  <c r="E163" i="48"/>
  <c r="B163" i="48"/>
  <c r="B161" i="48"/>
  <c r="L159" i="48"/>
  <c r="K159" i="48"/>
  <c r="J159" i="48"/>
  <c r="I159" i="48"/>
  <c r="H159" i="48"/>
  <c r="G159" i="48"/>
  <c r="E159" i="48"/>
  <c r="D159" i="48"/>
  <c r="C159" i="48"/>
  <c r="B154" i="48"/>
  <c r="B156" i="48"/>
  <c r="B108" i="48"/>
  <c r="B152" i="48"/>
  <c r="L150" i="48"/>
  <c r="K150" i="48"/>
  <c r="J150" i="48"/>
  <c r="I150" i="48"/>
  <c r="H150" i="48"/>
  <c r="G150" i="48"/>
  <c r="E150" i="48"/>
  <c r="D150" i="48"/>
  <c r="C150" i="48"/>
  <c r="L87" i="48"/>
  <c r="K87" i="48"/>
  <c r="J87" i="48"/>
  <c r="I87" i="48"/>
  <c r="H87" i="48"/>
  <c r="G87" i="48"/>
  <c r="E87" i="48"/>
  <c r="D87" i="48"/>
  <c r="C87" i="48"/>
  <c r="B4" i="39" l="1"/>
  <c r="B4" i="47"/>
  <c r="B4" i="37"/>
  <c r="B4" i="43"/>
  <c r="B4" i="45"/>
  <c r="B4" i="46"/>
  <c r="B4" i="42"/>
  <c r="B4" i="44"/>
  <c r="B58" i="48"/>
  <c r="B27" i="48"/>
  <c r="L25" i="48"/>
  <c r="K25" i="48"/>
  <c r="J25" i="48"/>
  <c r="I25" i="48"/>
  <c r="H25" i="48"/>
  <c r="G25" i="48"/>
  <c r="E25" i="48"/>
  <c r="D25" i="48"/>
  <c r="C25" i="48"/>
  <c r="B95" i="48"/>
  <c r="L93" i="48"/>
  <c r="K93" i="48"/>
  <c r="J93" i="48"/>
  <c r="I93" i="48"/>
  <c r="H93" i="48"/>
  <c r="G93" i="48"/>
  <c r="E93" i="48"/>
  <c r="D93" i="48"/>
  <c r="C93" i="48"/>
  <c r="B147" i="48" l="1"/>
  <c r="B142" i="48" l="1"/>
  <c r="B134" i="48"/>
  <c r="B140" i="48"/>
  <c r="B138" i="48"/>
  <c r="B136" i="48"/>
  <c r="B68" i="48" l="1"/>
  <c r="D65" i="48"/>
  <c r="B66" i="48"/>
  <c r="B63" i="48"/>
  <c r="B109" i="48" l="1"/>
  <c r="B105" i="48"/>
  <c r="B103" i="48"/>
  <c r="B101" i="48"/>
  <c r="B256" i="47" l="1"/>
  <c r="B401" i="47"/>
  <c r="B242" i="47"/>
  <c r="B311" i="47" l="1"/>
  <c r="B298" i="47"/>
  <c r="B285" i="47" l="1"/>
  <c r="B272" i="47" l="1"/>
  <c r="B269" i="47"/>
  <c r="B340" i="47"/>
  <c r="B388" i="47" l="1"/>
  <c r="B386" i="47"/>
  <c r="B385" i="47"/>
  <c r="B384" i="47"/>
  <c r="B382" i="47"/>
  <c r="B368" i="47" l="1"/>
  <c r="B354" i="47"/>
  <c r="B327" i="47"/>
  <c r="B193" i="47" l="1"/>
  <c r="B180" i="47"/>
  <c r="B159" i="47"/>
  <c r="B98" i="47" l="1"/>
  <c r="B71" i="47"/>
  <c r="B28" i="47"/>
  <c r="B15" i="47"/>
  <c r="B10" i="47"/>
  <c r="B9" i="47"/>
  <c r="B8" i="47"/>
  <c r="B8" i="52" s="1"/>
  <c r="B15" i="46"/>
  <c r="B14" i="46"/>
  <c r="B13" i="46"/>
  <c r="B12" i="46"/>
  <c r="B30" i="46"/>
  <c r="E33" i="46"/>
  <c r="F33" i="46" s="1"/>
  <c r="G33" i="46" s="1"/>
  <c r="B35" i="46"/>
  <c r="B9" i="43" l="1"/>
  <c r="B9" i="39"/>
  <c r="B9" i="37"/>
  <c r="B9" i="42"/>
  <c r="B8" i="43"/>
  <c r="B8" i="39"/>
  <c r="B8" i="42"/>
  <c r="B8" i="37"/>
  <c r="B43" i="46"/>
  <c r="B13" i="45"/>
  <c r="B10" i="45"/>
  <c r="B8" i="45"/>
  <c r="B10" i="44"/>
  <c r="B8" i="44"/>
  <c r="P6" i="44"/>
  <c r="O6" i="44"/>
  <c r="O5" i="44"/>
  <c r="B2" i="44"/>
  <c r="B143" i="43" l="1"/>
  <c r="B142" i="43"/>
  <c r="B139" i="43"/>
  <c r="B136" i="43" l="1"/>
  <c r="B288" i="42"/>
  <c r="B73" i="42" l="1"/>
  <c r="B132" i="43" l="1"/>
  <c r="B18" i="43" l="1"/>
  <c r="B15" i="43"/>
  <c r="B306" i="42" l="1"/>
  <c r="E305" i="42"/>
  <c r="F305" i="42" l="1"/>
  <c r="G305" i="42" s="1"/>
  <c r="H305" i="42" s="1"/>
  <c r="I305" i="42" s="1"/>
  <c r="J305" i="42" s="1"/>
  <c r="B261" i="42"/>
  <c r="B195" i="42" l="1"/>
  <c r="B219" i="42" s="1"/>
  <c r="B192" i="42"/>
  <c r="B216" i="42" s="1"/>
  <c r="B209" i="42" l="1"/>
  <c r="B196" i="42"/>
  <c r="B220" i="42" s="1"/>
  <c r="B194" i="42"/>
  <c r="B218" i="42" s="1"/>
  <c r="B193" i="42"/>
  <c r="B217" i="42" s="1"/>
  <c r="B191" i="42"/>
  <c r="B215" i="42" s="1"/>
  <c r="B190" i="42"/>
  <c r="B214" i="42" s="1"/>
  <c r="B189" i="42"/>
  <c r="B213" i="42" s="1"/>
  <c r="B188" i="42"/>
  <c r="B212" i="42" s="1"/>
  <c r="B187" i="42"/>
  <c r="B211" i="42" s="1"/>
  <c r="G185" i="42"/>
  <c r="B185" i="42"/>
  <c r="G125" i="42"/>
  <c r="E125" i="42"/>
  <c r="D125" i="42"/>
  <c r="C125" i="42"/>
  <c r="H118" i="42"/>
  <c r="I118" i="42"/>
  <c r="G118" i="42"/>
  <c r="H116" i="42"/>
  <c r="I116" i="42"/>
  <c r="G116" i="42"/>
  <c r="F114" i="42"/>
  <c r="F113" i="42"/>
  <c r="B118" i="42"/>
  <c r="B117" i="42"/>
  <c r="B116" i="42"/>
  <c r="B115" i="42"/>
  <c r="G209" i="42" l="1"/>
  <c r="H185" i="42"/>
  <c r="I185" i="42" l="1"/>
  <c r="H209" i="42"/>
  <c r="B114" i="42"/>
  <c r="B113" i="42"/>
  <c r="G111" i="42"/>
  <c r="B109" i="42"/>
  <c r="B105" i="42"/>
  <c r="H104" i="42"/>
  <c r="F47" i="56" s="1"/>
  <c r="I104" i="42"/>
  <c r="G47" i="56" s="1"/>
  <c r="G104" i="42"/>
  <c r="B104" i="42"/>
  <c r="G102" i="42"/>
  <c r="B102" i="42"/>
  <c r="I100" i="42"/>
  <c r="H100" i="42"/>
  <c r="G100" i="42"/>
  <c r="G96" i="42"/>
  <c r="B96" i="42"/>
  <c r="H94" i="42"/>
  <c r="I94" i="42"/>
  <c r="G94" i="42"/>
  <c r="B88" i="42"/>
  <c r="B94" i="42"/>
  <c r="B93" i="42"/>
  <c r="B92" i="42"/>
  <c r="B98" i="42" s="1"/>
  <c r="G90" i="42"/>
  <c r="H90" i="42" s="1"/>
  <c r="I90" i="42" s="1"/>
  <c r="B90" i="42"/>
  <c r="B86" i="42"/>
  <c r="B122" i="42"/>
  <c r="B182" i="42"/>
  <c r="B259" i="42"/>
  <c r="B303" i="42"/>
  <c r="I115" i="42" l="1"/>
  <c r="G49" i="56" s="1"/>
  <c r="I117" i="42"/>
  <c r="G117" i="42"/>
  <c r="G115" i="42"/>
  <c r="E49" i="56" s="1"/>
  <c r="H115" i="42"/>
  <c r="F49" i="56" s="1"/>
  <c r="H117" i="42"/>
  <c r="I209" i="42"/>
  <c r="B106" i="42"/>
  <c r="B99" i="42"/>
  <c r="B107" i="42"/>
  <c r="B100" i="42"/>
  <c r="G107" i="42"/>
  <c r="E70" i="51"/>
  <c r="I107" i="42"/>
  <c r="G70" i="51"/>
  <c r="H107" i="42"/>
  <c r="F70" i="51"/>
  <c r="H111" i="42"/>
  <c r="I111" i="42" s="1"/>
  <c r="H102" i="42"/>
  <c r="I102" i="42" s="1"/>
  <c r="H96" i="42"/>
  <c r="I96" i="42" s="1"/>
  <c r="I213" i="42"/>
  <c r="I215" i="42" s="1"/>
  <c r="I216" i="42" s="1"/>
  <c r="I220" i="42" s="1"/>
  <c r="H213" i="42"/>
  <c r="H215" i="42" s="1"/>
  <c r="H216" i="42" s="1"/>
  <c r="H220" i="42" s="1"/>
  <c r="G46" i="42"/>
  <c r="B46" i="42"/>
  <c r="H189" i="42"/>
  <c r="H191" i="42" s="1"/>
  <c r="I189" i="42"/>
  <c r="I191" i="42" l="1"/>
  <c r="H192" i="42"/>
  <c r="H46" i="42"/>
  <c r="I46" i="42" l="1"/>
  <c r="I192" i="42"/>
  <c r="I196" i="42" s="1"/>
  <c r="H196" i="42"/>
  <c r="B31" i="42"/>
  <c r="B56" i="42" s="1"/>
  <c r="B32" i="42"/>
  <c r="B57" i="42" s="1"/>
  <c r="D27" i="57" l="1"/>
  <c r="D16" i="57" s="1"/>
  <c r="D12" i="57"/>
  <c r="E12" i="57"/>
  <c r="E27" i="57"/>
  <c r="E16" i="57" s="1"/>
  <c r="P27" i="42"/>
  <c r="O27" i="42"/>
  <c r="P26" i="42"/>
  <c r="O26" i="42"/>
  <c r="P25" i="42"/>
  <c r="O25" i="42"/>
  <c r="B24" i="42"/>
  <c r="B49" i="42" s="1"/>
  <c r="B21" i="42" l="1"/>
  <c r="B33" i="42"/>
  <c r="B58" i="42" s="1"/>
  <c r="B30" i="42"/>
  <c r="B55" i="42" s="1"/>
  <c r="B28" i="42"/>
  <c r="B53" i="42" s="1"/>
  <c r="B27" i="42"/>
  <c r="B52" i="42" s="1"/>
  <c r="B26" i="42"/>
  <c r="B51" i="42" s="1"/>
  <c r="B25" i="42"/>
  <c r="B50" i="42" s="1"/>
  <c r="G21" i="42"/>
  <c r="B19" i="42"/>
  <c r="B396" i="42"/>
  <c r="B370" i="42"/>
  <c r="B369" i="42"/>
  <c r="B368" i="42"/>
  <c r="B366" i="42"/>
  <c r="B365" i="42"/>
  <c r="B323" i="42"/>
  <c r="B310" i="42"/>
  <c r="B367" i="42"/>
  <c r="B364" i="42"/>
  <c r="G362" i="42"/>
  <c r="B359" i="42"/>
  <c r="B13" i="42"/>
  <c r="E45" i="39"/>
  <c r="E43" i="39"/>
  <c r="B43" i="39"/>
  <c r="E42" i="39"/>
  <c r="E40" i="39"/>
  <c r="B40" i="39"/>
  <c r="B39" i="46" s="1"/>
  <c r="E33" i="39"/>
  <c r="E31" i="39"/>
  <c r="B327" i="39"/>
  <c r="B274" i="39"/>
  <c r="B254" i="39"/>
  <c r="B236" i="39"/>
  <c r="B234" i="39"/>
  <c r="B230" i="39"/>
  <c r="B226" i="39"/>
  <c r="B225" i="39"/>
  <c r="B224" i="39"/>
  <c r="B223" i="39"/>
  <c r="B222" i="39"/>
  <c r="B214" i="39"/>
  <c r="B213" i="39"/>
  <c r="B212" i="39"/>
  <c r="B211" i="39"/>
  <c r="B210" i="39"/>
  <c r="B209" i="39"/>
  <c r="B205" i="39"/>
  <c r="B189" i="39"/>
  <c r="B161" i="39"/>
  <c r="D146" i="39"/>
  <c r="B142" i="39"/>
  <c r="B114" i="39"/>
  <c r="B101" i="39"/>
  <c r="B60" i="39"/>
  <c r="F57" i="39"/>
  <c r="B49" i="39"/>
  <c r="E30" i="39"/>
  <c r="E28" i="39"/>
  <c r="E27" i="39"/>
  <c r="E25" i="39"/>
  <c r="B25" i="39"/>
  <c r="B21" i="39"/>
  <c r="B16" i="39"/>
  <c r="B14" i="42" s="1"/>
  <c r="B15" i="39"/>
  <c r="B14" i="39"/>
  <c r="B13" i="39"/>
  <c r="B12" i="39"/>
  <c r="B12" i="42" s="1"/>
  <c r="B277" i="39"/>
  <c r="H21" i="42" l="1"/>
  <c r="I21" i="42" s="1"/>
  <c r="H362" i="42"/>
  <c r="I362" i="42" s="1"/>
  <c r="B220" i="39" l="1"/>
  <c r="B249" i="39"/>
  <c r="B245" i="39"/>
  <c r="B241" i="39"/>
  <c r="B237" i="39"/>
  <c r="B233" i="39"/>
  <c r="K236" i="39" l="1"/>
  <c r="H236" i="39"/>
  <c r="I236" i="39"/>
  <c r="J236" i="39"/>
  <c r="L236" i="39"/>
  <c r="L301" i="39"/>
  <c r="AN10" i="59" s="1"/>
  <c r="K301" i="39"/>
  <c r="AM10" i="59" s="1"/>
  <c r="J301" i="39"/>
  <c r="AL10" i="59" s="1"/>
  <c r="I301" i="39"/>
  <c r="AK10" i="59" s="1"/>
  <c r="H301" i="39"/>
  <c r="AJ10" i="59" s="1"/>
  <c r="G301" i="39"/>
  <c r="AI10" i="59" s="1"/>
  <c r="F301" i="39"/>
  <c r="AH10" i="59" s="1"/>
  <c r="L296" i="39"/>
  <c r="AN9" i="59" s="1"/>
  <c r="K296" i="39"/>
  <c r="AM9" i="59" s="1"/>
  <c r="J296" i="39"/>
  <c r="AL9" i="59" s="1"/>
  <c r="I296" i="39"/>
  <c r="AK9" i="59" s="1"/>
  <c r="H296" i="39"/>
  <c r="AJ9" i="59" s="1"/>
  <c r="G296" i="39"/>
  <c r="AI9" i="59" s="1"/>
  <c r="F296" i="39"/>
  <c r="AH9" i="59" s="1"/>
  <c r="L291" i="39"/>
  <c r="AN8" i="59" s="1"/>
  <c r="K291" i="39"/>
  <c r="AM8" i="59" s="1"/>
  <c r="J291" i="39"/>
  <c r="AL8" i="59" s="1"/>
  <c r="I291" i="39"/>
  <c r="AK8" i="59" s="1"/>
  <c r="H291" i="39"/>
  <c r="AJ8" i="59" s="1"/>
  <c r="G291" i="39"/>
  <c r="AI8" i="59" s="1"/>
  <c r="F291" i="39"/>
  <c r="AH8" i="59" s="1"/>
  <c r="L286" i="39"/>
  <c r="AN7" i="59" s="1"/>
  <c r="K286" i="39"/>
  <c r="AM7" i="59" s="1"/>
  <c r="J286" i="39"/>
  <c r="AL7" i="59" s="1"/>
  <c r="I286" i="39"/>
  <c r="AK7" i="59" s="1"/>
  <c r="H286" i="39"/>
  <c r="AJ7" i="59" s="1"/>
  <c r="G286" i="39"/>
  <c r="AI7" i="59" s="1"/>
  <c r="F286" i="39"/>
  <c r="AH7" i="59" s="1"/>
  <c r="L281" i="39"/>
  <c r="AN6" i="59" s="1"/>
  <c r="K281" i="39"/>
  <c r="AM6" i="59" s="1"/>
  <c r="J281" i="39"/>
  <c r="AL6" i="59" s="1"/>
  <c r="I281" i="39"/>
  <c r="AK6" i="59" s="1"/>
  <c r="H281" i="39"/>
  <c r="AJ6" i="59" s="1"/>
  <c r="G281" i="39"/>
  <c r="AI6" i="59" s="1"/>
  <c r="F281" i="39"/>
  <c r="AH6" i="59" s="1"/>
  <c r="L252" i="39"/>
  <c r="K252" i="39"/>
  <c r="J252" i="39"/>
  <c r="I252" i="39"/>
  <c r="H252" i="39"/>
  <c r="G252" i="39"/>
  <c r="F252" i="39"/>
  <c r="L248" i="39"/>
  <c r="K248" i="39"/>
  <c r="J248" i="39"/>
  <c r="I248" i="39"/>
  <c r="H248" i="39"/>
  <c r="G248" i="39"/>
  <c r="F248" i="39"/>
  <c r="L244" i="39"/>
  <c r="K244" i="39"/>
  <c r="J244" i="39"/>
  <c r="I244" i="39"/>
  <c r="H244" i="39"/>
  <c r="G244" i="39"/>
  <c r="F244" i="39"/>
  <c r="L240" i="39"/>
  <c r="K240" i="39"/>
  <c r="J240" i="39"/>
  <c r="I240" i="39"/>
  <c r="H240" i="39"/>
  <c r="G240" i="39"/>
  <c r="F240" i="39"/>
  <c r="H214" i="39" l="1"/>
  <c r="I214" i="39"/>
  <c r="G214" i="39"/>
  <c r="G207" i="39"/>
  <c r="H207" i="39" l="1"/>
  <c r="I207" i="39" s="1"/>
  <c r="G257" i="39" s="1"/>
  <c r="G263" i="39" s="1"/>
  <c r="B87" i="39" l="1"/>
  <c r="B73" i="39"/>
  <c r="G51" i="39"/>
  <c r="I45" i="39"/>
  <c r="H45" i="39"/>
  <c r="G45" i="39"/>
  <c r="I42" i="39"/>
  <c r="H42" i="39"/>
  <c r="G42" i="39"/>
  <c r="I26" i="39"/>
  <c r="I25" i="39"/>
  <c r="H26" i="39"/>
  <c r="H25" i="39"/>
  <c r="H56" i="39" s="1"/>
  <c r="I33" i="39"/>
  <c r="H33" i="39"/>
  <c r="G33" i="39"/>
  <c r="B31" i="39"/>
  <c r="B37" i="46" s="1"/>
  <c r="B148" i="39"/>
  <c r="G144" i="39"/>
  <c r="G23" i="39"/>
  <c r="B28" i="39"/>
  <c r="B36" i="46" s="1"/>
  <c r="I30" i="39"/>
  <c r="H30" i="39"/>
  <c r="G30" i="39"/>
  <c r="G27" i="39"/>
  <c r="B99" i="37"/>
  <c r="B85" i="37"/>
  <c r="B71" i="37"/>
  <c r="B45" i="37"/>
  <c r="B32" i="37"/>
  <c r="B28" i="37"/>
  <c r="B27" i="37"/>
  <c r="F26" i="37"/>
  <c r="B26" i="37"/>
  <c r="F25" i="37"/>
  <c r="B25" i="37"/>
  <c r="F24" i="37"/>
  <c r="B24" i="37"/>
  <c r="H23" i="37"/>
  <c r="I23" i="37"/>
  <c r="G23" i="37"/>
  <c r="G56" i="39" s="1"/>
  <c r="B23" i="37"/>
  <c r="F23" i="37"/>
  <c r="F20" i="37"/>
  <c r="F23" i="42" s="1"/>
  <c r="B20" i="37"/>
  <c r="B23" i="42" s="1"/>
  <c r="G18" i="37"/>
  <c r="B15" i="37"/>
  <c r="P10" i="37"/>
  <c r="B10" i="37" s="1"/>
  <c r="I56" i="39" l="1"/>
  <c r="I57" i="39" s="1"/>
  <c r="E35" i="46"/>
  <c r="I6" i="53" s="1"/>
  <c r="G57" i="39"/>
  <c r="I27" i="37"/>
  <c r="G35" i="46"/>
  <c r="K6" i="53" s="1"/>
  <c r="H27" i="37"/>
  <c r="F35" i="46"/>
  <c r="J6" i="53" s="1"/>
  <c r="I114" i="42"/>
  <c r="I113" i="42"/>
  <c r="H57" i="39"/>
  <c r="H114" i="42"/>
  <c r="H113" i="42"/>
  <c r="B10" i="43"/>
  <c r="B10" i="42"/>
  <c r="B10" i="39"/>
  <c r="G27" i="37"/>
  <c r="G25" i="37"/>
  <c r="G28" i="37" s="1"/>
  <c r="I25" i="37"/>
  <c r="I28" i="37" s="1"/>
  <c r="H25" i="37"/>
  <c r="H28" i="37" s="1"/>
  <c r="P5" i="44"/>
  <c r="G114" i="42"/>
  <c r="G113" i="42"/>
  <c r="I27" i="39"/>
  <c r="H27" i="39"/>
  <c r="H51" i="39"/>
  <c r="I51" i="39" s="1"/>
  <c r="H144" i="39"/>
  <c r="I144" i="39" s="1"/>
  <c r="H23" i="39"/>
  <c r="B58" i="37"/>
  <c r="H18" i="37"/>
  <c r="I18" i="37" s="1"/>
  <c r="F326" i="39" l="1"/>
  <c r="F332" i="39" s="1"/>
  <c r="B5" i="49"/>
  <c r="B5" i="52" s="1"/>
  <c r="I23" i="39"/>
  <c r="H326" i="39" s="1"/>
  <c r="H332" i="39" s="1"/>
  <c r="B5" i="45" l="1"/>
  <c r="B5" i="43"/>
  <c r="B5" i="37"/>
  <c r="B5" i="44"/>
  <c r="B5" i="39"/>
  <c r="B5" i="46"/>
  <c r="B5" i="47"/>
  <c r="B5" i="42"/>
  <c r="G326" i="39"/>
  <c r="G332" i="3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4EE62EA2-6E0B-4EA8-96D5-245052E419B1}">
      <text>
        <r>
          <rPr>
            <sz val="9"/>
            <color indexed="81"/>
            <rFont val="Tahoma"/>
            <family val="2"/>
          </rPr>
          <t>If there is more than one type (i.e. dumping for China, dumping &amp; subsidizing for Korea), you must manually modify the Intro paragraph.</t>
        </r>
      </text>
    </comment>
    <comment ref="A17" authorId="0" shapeId="0" xr:uid="{DD3C50B1-1036-4DD5-9DD0-55D6698CB983}">
      <text>
        <r>
          <rPr>
            <b/>
            <sz val="9"/>
            <color indexed="81"/>
            <rFont val="Tahoma"/>
            <family val="2"/>
          </rPr>
          <t>Link to specific CBSA SOR or MIF page</t>
        </r>
      </text>
    </comment>
  </commentList>
</comments>
</file>

<file path=xl/sharedStrings.xml><?xml version="1.0" encoding="utf-8"?>
<sst xmlns="http://schemas.openxmlformats.org/spreadsheetml/2006/main" count="2032" uniqueCount="1188">
  <si>
    <t>PUBLIC</t>
  </si>
  <si>
    <t>QUESTIONNAIRE DUE DATE</t>
  </si>
  <si>
    <t>Veuillez retourner le questionnaire rempli en utilisant l’une des options suivantes :</t>
  </si>
  <si>
    <t>CERTIFICATION</t>
  </si>
  <si>
    <t>ATTESTATION</t>
  </si>
  <si>
    <t>FIRM INFORMATION</t>
  </si>
  <si>
    <t>RENSEIGNEMENTS SUR L’ENTREPRISE</t>
  </si>
  <si>
    <t>Firm Address</t>
  </si>
  <si>
    <t>Adresse de l'entreprise</t>
  </si>
  <si>
    <t>Website Address</t>
  </si>
  <si>
    <t>Adresse du site Web</t>
  </si>
  <si>
    <t>Provide the names and addresses of other locations, facilities, and outlets in Canada on behalf of which your company is responding.</t>
  </si>
  <si>
    <t>Name of Authorized Official</t>
  </si>
  <si>
    <t>Nom du représentant autorisé</t>
  </si>
  <si>
    <t>Title of Authorized Official</t>
  </si>
  <si>
    <t>Titre du représentant autorisé</t>
  </si>
  <si>
    <t>Telephone</t>
  </si>
  <si>
    <t>Téléphone</t>
  </si>
  <si>
    <t>CONFIRMATION OF REPORTED DATA</t>
  </si>
  <si>
    <t>CONFIRMATION DES DONNÉES DÉCLARÉES</t>
  </si>
  <si>
    <t>Question 1</t>
  </si>
  <si>
    <t>Question 2</t>
  </si>
  <si>
    <t>Firm Name</t>
  </si>
  <si>
    <t xml:space="preserve">Dénomination sociale de l'entreprise </t>
  </si>
  <si>
    <t>Role in the Industry</t>
  </si>
  <si>
    <t>Rôle dans l'industrie</t>
  </si>
  <si>
    <t>Question 3</t>
  </si>
  <si>
    <t>Question 4</t>
  </si>
  <si>
    <t>Question 5</t>
  </si>
  <si>
    <t>Facility Name and Location</t>
  </si>
  <si>
    <t>Question 6</t>
  </si>
  <si>
    <t>Question 7</t>
  </si>
  <si>
    <t>What other products, if any, can be produced on the same equipment used to produce the goods?</t>
  </si>
  <si>
    <t>Question 8</t>
  </si>
  <si>
    <t>Question 9</t>
  </si>
  <si>
    <t>Question 10</t>
  </si>
  <si>
    <t>Question 11</t>
  </si>
  <si>
    <t>Question 12</t>
  </si>
  <si>
    <t>Question 13</t>
  </si>
  <si>
    <t>Question 14</t>
  </si>
  <si>
    <t>Production</t>
  </si>
  <si>
    <t>Export Sales</t>
  </si>
  <si>
    <t>Ventes à l'exportation</t>
  </si>
  <si>
    <t>For Sale in Canada</t>
  </si>
  <si>
    <t>Pour les ventes au Canada</t>
  </si>
  <si>
    <t>Total</t>
  </si>
  <si>
    <t xml:space="preserve">Net Sales Value </t>
  </si>
  <si>
    <t xml:space="preserve">Cost of Goods Sold </t>
  </si>
  <si>
    <t>Coût des marchandises vendues</t>
  </si>
  <si>
    <t>Gross Margin (Loss)</t>
  </si>
  <si>
    <t>Marge bénéficiaire brute (perte brute)</t>
  </si>
  <si>
    <t xml:space="preserve">General, Selling, and Administrative Expenses </t>
  </si>
  <si>
    <t>Frais généraux, de vente, et d'administration</t>
  </si>
  <si>
    <t xml:space="preserve">Financial Expenses </t>
  </si>
  <si>
    <t>Charges financières</t>
  </si>
  <si>
    <t>Net Income (Loss) Before Taxes</t>
  </si>
  <si>
    <t>Revenu net (perte nette) avant impôts</t>
  </si>
  <si>
    <t xml:space="preserve">Beginning Inventory of Goods in Process </t>
  </si>
  <si>
    <t>Stock d'ouverture des marchandises en cours de fabrication</t>
  </si>
  <si>
    <t xml:space="preserve">All Other Direct Materials Used </t>
  </si>
  <si>
    <t>Toutes les autres matières directes utilisées</t>
  </si>
  <si>
    <t>Direct Employment Wages Paid</t>
  </si>
  <si>
    <t xml:space="preserve">Le montant des salaires associé à l’emploi direct </t>
  </si>
  <si>
    <t>Charges indirectes de fabrication</t>
  </si>
  <si>
    <t>Cost of Goods Manufactured</t>
  </si>
  <si>
    <t xml:space="preserve">Coût des marchandises fabriquées </t>
  </si>
  <si>
    <t>Direct Employment</t>
  </si>
  <si>
    <t>Emploi direct</t>
  </si>
  <si>
    <t>Indirect Employment</t>
  </si>
  <si>
    <t>Emploi indirect</t>
  </si>
  <si>
    <t>Net Sales Value</t>
  </si>
  <si>
    <t>Valeur de vente nette</t>
  </si>
  <si>
    <t>Beginning Inventory</t>
  </si>
  <si>
    <t>Stock d'ouverture</t>
  </si>
  <si>
    <t>Cost of Goods Sold</t>
  </si>
  <si>
    <t>General, Selling, and Administrative Expenses</t>
  </si>
  <si>
    <t xml:space="preserve">Frais généraux, de vente, et d'administration </t>
  </si>
  <si>
    <t>Verification</t>
  </si>
  <si>
    <t>INVESTMENTS</t>
  </si>
  <si>
    <t>INVESTISSEMENTS</t>
  </si>
  <si>
    <t>Productivity</t>
  </si>
  <si>
    <t>Productivité</t>
  </si>
  <si>
    <t>Employment</t>
  </si>
  <si>
    <t>Emplois</t>
  </si>
  <si>
    <t>Wages</t>
  </si>
  <si>
    <t>Salaires</t>
  </si>
  <si>
    <t>Return on investment</t>
  </si>
  <si>
    <t>Rendement du capital investi</t>
  </si>
  <si>
    <t>Growth</t>
  </si>
  <si>
    <t>Croissance</t>
  </si>
  <si>
    <t xml:space="preserve">Ability to raise capital </t>
  </si>
  <si>
    <t>Capacité de réunir des capitaux</t>
  </si>
  <si>
    <t>Production Development Efforts</t>
  </si>
  <si>
    <t xml:space="preserve">Projets de développement de la production </t>
  </si>
  <si>
    <t>Other relevant factors</t>
  </si>
  <si>
    <t xml:space="preserve">Autres facteurs pertinents </t>
  </si>
  <si>
    <t>INJURY ALLEGATIONS</t>
  </si>
  <si>
    <t xml:space="preserve"> ALLÉGATIONS DE DOMMAGE</t>
  </si>
  <si>
    <t>NOTE:</t>
  </si>
  <si>
    <t>NOTE :</t>
  </si>
  <si>
    <t>Nunavut, Yukon and Northwest Territories</t>
  </si>
  <si>
    <t>Alberta and British Columbia</t>
  </si>
  <si>
    <t>Manitoba and Saskatchewan</t>
  </si>
  <si>
    <t xml:space="preserve">Quebec and Ontario </t>
  </si>
  <si>
    <t>Atlantic Provinces</t>
  </si>
  <si>
    <t>Provinces de l’Atlantique</t>
  </si>
  <si>
    <t>Québec et Ontario</t>
  </si>
  <si>
    <t xml:space="preserve">Manitoba et Saskatchewan </t>
  </si>
  <si>
    <t>Alberta et Colombie-Britannique</t>
  </si>
  <si>
    <t>Nunavut, Yukon et Territoires du Nord-Ouest</t>
  </si>
  <si>
    <t>2. Certaines informations fournies par votre entreprise peuvent faire l’objet d’une « divulgation restreinte » à la partie visée par les allégations de votre entreprise. Ces informations sont indiquées par les lettres « LD ». Pour faciliter et accélérer ce processus de « divulgation restreinte », votre entreprise est invitée à préparer, en remplissant le questionnaire, une version de « divulgation restreinte » de ces allégations. Cette version ne fera pas partie de la réponse au questionnaire de votre entreprise, mais doit être transmise, par votre conseiller juridique ou vous-même, à la partie ayant demandé une telle « divulgation restreinte », après que cette dernière aura déposé un acte d'engagement et de reconnaissance auprès du Tribunal.</t>
  </si>
  <si>
    <t>I understand that checking this box constitutes my legally binding signature.</t>
  </si>
  <si>
    <t>Je comprends que le fait de cocher cette case constitue ma signature juridiquement contraignante.</t>
  </si>
  <si>
    <t>Quels autres produits, le cas échéant, pourraient être fabriqués à l’aide du même outillage utilisé pour la production des marchandises?</t>
  </si>
  <si>
    <t>Other Expenses</t>
  </si>
  <si>
    <t>Autres dépenses</t>
  </si>
  <si>
    <t>Account 1</t>
  </si>
  <si>
    <t>Client 1</t>
  </si>
  <si>
    <t>Account 2</t>
  </si>
  <si>
    <t>Client 2</t>
  </si>
  <si>
    <t>Account 3</t>
  </si>
  <si>
    <t>Client 3</t>
  </si>
  <si>
    <t>Account 4</t>
  </si>
  <si>
    <t>Client 4</t>
  </si>
  <si>
    <t>Account 5</t>
  </si>
  <si>
    <t>Client 5</t>
  </si>
  <si>
    <t>VENTES AU CANADA DE LA PRODUCTION NATIONALE À VOS CINQ PLUS IMPORTANTS CLIENTS</t>
  </si>
  <si>
    <t>SALES IN CANADA OF DOMESTIC PRODUCTION TO TOP FIVE ACCOUNTS</t>
  </si>
  <si>
    <t>Total production of the goods</t>
  </si>
  <si>
    <t>Production totale des marchandises</t>
  </si>
  <si>
    <t>CUSTOMS TARIFF</t>
  </si>
  <si>
    <t>TARIF DES DOUANES</t>
  </si>
  <si>
    <t>SUBMITTING THE QUESTIONNAIRE RESPONSE</t>
  </si>
  <si>
    <t>TRANSMISSION DU QUESTIONNAIRE REMPLI</t>
  </si>
  <si>
    <t>E-mail Address</t>
  </si>
  <si>
    <t>Date</t>
  </si>
  <si>
    <t>Provide a brief history of your firm, with particular emphasis on activities regarding the goods.</t>
  </si>
  <si>
    <t>Donnez un bref historique de votre entreprise, en insistant plus particulièrement sur les activités entourant les marchandises.</t>
  </si>
  <si>
    <t>If your firm is publicly traded, specify the stock exchange and trading symbol.</t>
  </si>
  <si>
    <t>Si votre entreprise est cotée en bourse, précisez quelle bourse et le symbole boursier.</t>
  </si>
  <si>
    <t xml:space="preserve">Dénomination sociale et emplacement de l'établissement </t>
  </si>
  <si>
    <t>Competitor's Offer</t>
  </si>
  <si>
    <t>Nature of Alleged Injury (P)</t>
  </si>
  <si>
    <t>Nature du dommage allégué (P)</t>
  </si>
  <si>
    <t>Product Description (P)</t>
  </si>
  <si>
    <t>Description du produit (P)</t>
  </si>
  <si>
    <t>Date of Transaction (P)</t>
  </si>
  <si>
    <t>Date de la transaction (P)</t>
  </si>
  <si>
    <t>Country of Origin (P)</t>
  </si>
  <si>
    <t>Pays d'origine (P)</t>
  </si>
  <si>
    <t>PUBLIC COMMENTS</t>
  </si>
  <si>
    <t>COMMENTAIRES PUBLICS</t>
  </si>
  <si>
    <t xml:space="preserve">Explain in detail how your firm determines practical plant capacity. </t>
  </si>
  <si>
    <t xml:space="preserve">Fournissez des détails sur la façon dont votre entreprise détermine la capacité pratique des usines. </t>
  </si>
  <si>
    <t>Describe the method used to value your firm's sales to Canadian or foreign associated firms.</t>
  </si>
  <si>
    <t>Décrivez la méthode utilisée pour déterminer la valeur des ventes de votre entreprise à ses entreprises associées au Canada et/ou à l’étranger.</t>
  </si>
  <si>
    <t>PROTECTED COMMENTS</t>
  </si>
  <si>
    <t>Confirm that all information is reported on a calendar-year basis.</t>
  </si>
  <si>
    <t>Confirmez que tous les renseignements déclarés le sont selon l’année civile.</t>
  </si>
  <si>
    <t>Fournissez l'état du coût des marchandises fabriquées de votre entreprise pour ses ventes au Canada et à l'exportation des marchandises produites au Canada.</t>
  </si>
  <si>
    <t>Report your firm’s past and projected investments in facilities for the goods for each period specified.</t>
  </si>
  <si>
    <t>Indiquez les investissements antérieurs et prévus de votre entreprise consacrés à ses installations des marchandises pour chaque période indiquée.</t>
  </si>
  <si>
    <t>Provide a description of your firm’s major past and projected investments, in which facilities they took or will take place and the reasons for those investments.</t>
  </si>
  <si>
    <t>Décrivez les principaux investissements antérieurs et prévus de votre entreprise, les installations qui en sont l’objet ou en ont été l’objet et les motifs de ces investissements.</t>
  </si>
  <si>
    <t>Beginning inventory</t>
  </si>
  <si>
    <t>Ending inventory</t>
  </si>
  <si>
    <t>English</t>
  </si>
  <si>
    <t>Français</t>
  </si>
  <si>
    <t>protégé</t>
  </si>
  <si>
    <t>protected</t>
  </si>
  <si>
    <t>producers' questionnaire</t>
  </si>
  <si>
    <t>questionnaire à l'intention des producteurs</t>
  </si>
  <si>
    <t>Variable</t>
  </si>
  <si>
    <t>French</t>
  </si>
  <si>
    <t>Case Number</t>
  </si>
  <si>
    <t>The Goods</t>
  </si>
  <si>
    <t xml:space="preserve">Product information and a glossary of terms can be found in the Info tab.
</t>
  </si>
  <si>
    <t>Des informations sur le produit et un glossaire de termes sont disponibles dans l'onglet Info.</t>
  </si>
  <si>
    <t xml:space="preserve">Use the AddPro tab if more space is needed.
</t>
  </si>
  <si>
    <t>Production pour les ventes au Canada</t>
  </si>
  <si>
    <t>Production for sale in Canada</t>
  </si>
  <si>
    <t>Production for export sales</t>
  </si>
  <si>
    <t>Production pour les ventes à l'exportation</t>
  </si>
  <si>
    <t>Production for internal use or further internal processing</t>
  </si>
  <si>
    <t>Production of other products produced using the same equipment</t>
  </si>
  <si>
    <t>Production d'autres produits fabriqués avec le même équipement</t>
  </si>
  <si>
    <t>Capacity utilization rate of the goods</t>
  </si>
  <si>
    <t>Taux d'utilisation des capacités des marchandises</t>
  </si>
  <si>
    <t>%</t>
  </si>
  <si>
    <t>Total capacity utilization rate</t>
  </si>
  <si>
    <t>Taux d'utilisation total des capacités</t>
  </si>
  <si>
    <t>Capacité pratique des usines</t>
  </si>
  <si>
    <t>Complete the following table for your firm's Canadian sales and inventories of the goods.</t>
  </si>
  <si>
    <t>For the questions in this tab, note the following:</t>
  </si>
  <si>
    <t>Pour les questions de cet onglet, notez ce qui suit :</t>
  </si>
  <si>
    <t>Trade Level 1 (plural)</t>
  </si>
  <si>
    <t>Delivery Cost</t>
  </si>
  <si>
    <t>Coût de livraison</t>
  </si>
  <si>
    <t>Décrivez les plans de votre entreprise pour gérer les niveaux de stocks au cours des deux prochaines années. Fournissez les motifs et les hypothèses sous-tendant ces objectifs et ces stratégies.</t>
  </si>
  <si>
    <t>Provide your firm’s strategies and objectives for the next two years with respect to the domestic sales of domestic production of the goods. Provide the rationale and assumptions underlying these strategies and objectives.</t>
  </si>
  <si>
    <t>Fournissez les stratégies et les objectifs de votre entreprise pour les deux prochaines années en ce qui concerne les ventes intérieures de la production nationale des marchandises. Fournir la justification et les hypothèses qui sous-tendent ces stratégies et objectifs.</t>
  </si>
  <si>
    <t>Provide your firm’s strategies and objectives for the next two years with respect to the export sales of the goods. Provide the rationale and assumptions underlying these strategies and objectives.</t>
  </si>
  <si>
    <t>Fournissez les stratégies et les objectifs de votre entreprise pour les deux prochaines années en ce qui concerne les ventes à l'exportation des marchandises. Fournir la justification et les hypothèses qui sous-tendent ces stratégies et objectifs.</t>
  </si>
  <si>
    <t>Fournissez les stratégies et les objectifs de votre entreprise pour les deux prochaines années en ce qui concerne les prix des marchandises. Fournir la justification et les hypothèses qui sous-tendent ces stratégies et objectifs.</t>
  </si>
  <si>
    <t>Vérification</t>
  </si>
  <si>
    <t>Complete the income statement for your total firm. Report total results for all products sold by your firm, including but not limited to the goods. These amounts should correspond to those reported in your firm's audited financial statements.</t>
  </si>
  <si>
    <t>Remplissez l’état des résultats pour l’ensemble de l’entreprise. Veuillez déclarer les résultats totaux pour tous les produits vendus par votre entreprise, y compris sans en exclure les marchandises. Ces montants doivent correspondre à ceux indiqués dans les états financiers vérifiés de votre entreprise.</t>
  </si>
  <si>
    <r>
      <t xml:space="preserve">List the top three direct materials used in your firm's production of the goods </t>
    </r>
    <r>
      <rPr>
        <b/>
        <sz val="10.5"/>
        <rFont val="Calibri"/>
        <family val="2"/>
        <scheme val="minor"/>
      </rPr>
      <t>by value</t>
    </r>
    <r>
      <rPr>
        <sz val="10.5"/>
        <rFont val="Calibri"/>
        <family val="2"/>
        <scheme val="minor"/>
      </rPr>
      <t>.</t>
    </r>
  </si>
  <si>
    <t>Énumérez les trois principales matières directes utilisées dans la production des marchandises par votre entreprise, en fonction de leur valeur.</t>
  </si>
  <si>
    <t>Direct material used 1</t>
  </si>
  <si>
    <t>La matière directe utilisée 1</t>
  </si>
  <si>
    <t>Direct material used 2</t>
  </si>
  <si>
    <t>La matière directe utilisée 2</t>
  </si>
  <si>
    <t>Direct material used 3</t>
  </si>
  <si>
    <t>La matière directe utilisée 3</t>
  </si>
  <si>
    <t>Ending Inventory of Goods in Process</t>
  </si>
  <si>
    <t>For Export Sales</t>
  </si>
  <si>
    <t>Pour les ventes à l'exportation</t>
  </si>
  <si>
    <t>Provide your firm's employment, hours worked and wages paid with regard to the production of the goods. Include employment used in the production for domestic sales, for export sales, and for internal use or further processing.</t>
  </si>
  <si>
    <t>Nombre d'employés</t>
  </si>
  <si>
    <t>#</t>
  </si>
  <si>
    <t>Nombre d'heures travaillées</t>
  </si>
  <si>
    <t>Direct Employment - Domestic and Export Sales</t>
  </si>
  <si>
    <t>Emploi direct - ventes nationales et ventes à l'exportation</t>
  </si>
  <si>
    <t>Direct Employment - Internal Use or Further Internal Processing</t>
  </si>
  <si>
    <t>Emploi direct - utilisées à l'interne ou destinées à la transformation ultérieure à l’interne</t>
  </si>
  <si>
    <t>Production Volume per Direct Employee</t>
  </si>
  <si>
    <t>Volume de production par employé direct</t>
  </si>
  <si>
    <t>Production Volume per Direct Employment Hours Worked</t>
  </si>
  <si>
    <t>Total Wages per Direct Employee</t>
  </si>
  <si>
    <t>Salaires totaux par employé direct</t>
  </si>
  <si>
    <t>Total Wages per Indirect Employee</t>
  </si>
  <si>
    <t>Salaires totaux par employé indirect</t>
  </si>
  <si>
    <t>Hourly Wages per Direct Employee</t>
  </si>
  <si>
    <t>Hourly Wages per Indirect Employee</t>
  </si>
  <si>
    <t>Year</t>
  </si>
  <si>
    <t>Année</t>
  </si>
  <si>
    <t>Duration</t>
  </si>
  <si>
    <t xml:space="preserve">Durée  </t>
  </si>
  <si>
    <t>Cause</t>
  </si>
  <si>
    <t>Raison</t>
  </si>
  <si>
    <t>Event 1</t>
  </si>
  <si>
    <t>Événement 1</t>
  </si>
  <si>
    <t>Event 2</t>
  </si>
  <si>
    <t>Événement 2</t>
  </si>
  <si>
    <t>Event 3</t>
  </si>
  <si>
    <t>Événement 3</t>
  </si>
  <si>
    <t>Event 4</t>
  </si>
  <si>
    <t>Événement 4</t>
  </si>
  <si>
    <t>Event 5</t>
  </si>
  <si>
    <t>Événement 5</t>
  </si>
  <si>
    <t xml:space="preserve">Complete the income statement for your firm's sales in Canada and sales for export of the goods produced in Canada. This statement is to be prepared using a full absorption costing method and is to be reported on a calendar-year basis. </t>
  </si>
  <si>
    <t>Fournissez l'état des résultats de votre entreprise pour ses ventes au Canada et à l'exportation des marchandises produites au Canada. Cet état doit être préparé en utilisant la méthode du coût de revient complet et déclaré selon le régime de l’année civile.</t>
  </si>
  <si>
    <t>Coût des marchandises fabriquées</t>
  </si>
  <si>
    <t xml:space="preserve">Ending Inventory </t>
  </si>
  <si>
    <t>Investments</t>
  </si>
  <si>
    <t>Investissements</t>
  </si>
  <si>
    <t>Décrivez les plans de votre entreprise pour gérer le coût des matières au cours des deux prochaines années. Fournissez les motifs et les hypothèses sous-tendant ces objectifs et ces stratégies.</t>
  </si>
  <si>
    <t>Décrivez les plans de votre entreprise pour gérer le rendement financier des deux prochaines années. Fournissez les motifs et les hypothèses sous-tendant ces objectifs et ces stratégies.</t>
  </si>
  <si>
    <t>According to the Tribunal’s Guideline on the Designation, Protection, Use and Transmission of Confidential Information (the Guideline), domestic producers are under no obligation to provide customer-specific injury allegations, as these are not essential to the conduct of an inquiry or a review. However, where a party decides to submit customer-specific injury allegations, the Tribunal is interested in quality rather than quantity.</t>
  </si>
  <si>
    <t>Aux termes de la Ligne directrice sur la désignation, protection, utilisation et transmission des renseignements confidentiels (Ligne directrice), les producteurs nationaux ne sont pas tenus de fournir des allégations de dommage à l’égard d’un client en particulier puisqu'elles ne sont pas essentielles au déroulement d’une enquête ou d’un réexamen. Par contre, si une partie décide d’en présenter, le Tribunal recherchera la qualité plutôt que la quantité.</t>
  </si>
  <si>
    <t>Allegation</t>
  </si>
  <si>
    <t>2. Some of the information in your firm's response may be subject to “limited disclosure” to the party against whom it is making the allegation. This information is indicated by the letters “LD”. To facilitate and expedite any “limited disclosure,” your firm is invited to prepare, when it completes the questionnaire, a “limited disclosure” version of these allegations. This version is not to be included in your firm's reply to this questionnaire, but would be given, by you or your counsel, to a party requesting the “limited disclosure” after the party has filed an undertaking and acknowledgement form with the Tribunal.</t>
  </si>
  <si>
    <t>General Information</t>
  </si>
  <si>
    <t>Renseignements généraux</t>
  </si>
  <si>
    <t>Name of Account (LD)</t>
  </si>
  <si>
    <t>Nom du client (LD)</t>
  </si>
  <si>
    <t>Address (LD)</t>
  </si>
  <si>
    <t>Adresse (LD)</t>
  </si>
  <si>
    <t>Trade Level (LD)</t>
  </si>
  <si>
    <t>Domestic Producer's Offer</t>
  </si>
  <si>
    <t>Offre du producteur national</t>
  </si>
  <si>
    <t>Offre du concurrent</t>
  </si>
  <si>
    <t>Name of Competitor (LD)</t>
  </si>
  <si>
    <t>Nom du concurrent (LD)</t>
  </si>
  <si>
    <t>Comments</t>
  </si>
  <si>
    <t>Commentaires</t>
  </si>
  <si>
    <t>Comment 1</t>
  </si>
  <si>
    <t>Commentaire 1</t>
  </si>
  <si>
    <t>Comment 2</t>
  </si>
  <si>
    <t>Commentaire 2</t>
  </si>
  <si>
    <t>Comment 3</t>
  </si>
  <si>
    <t>Commentaire 3</t>
  </si>
  <si>
    <t>Comment 4</t>
  </si>
  <si>
    <t>Commentaire 4</t>
  </si>
  <si>
    <t>Comment 5</t>
  </si>
  <si>
    <t>Commentaire 5</t>
  </si>
  <si>
    <t xml:space="preserve">Use the AddPub tab if more space is needed.
</t>
  </si>
  <si>
    <t>Utilisez l'onglet AddPub si vous avez besoin de plus d'espace.</t>
  </si>
  <si>
    <t>Provide the following information associated with your firm's Canadian production of all products.</t>
  </si>
  <si>
    <t>Fournissez les renseignements suivants associés à la production canadienne de tous les produits de votre entreprise.</t>
  </si>
  <si>
    <t>Describe how delivery of the goods sold by your firm is paid for.</t>
  </si>
  <si>
    <t>Price Premium</t>
  </si>
  <si>
    <t xml:space="preserve"> Majoration du prix</t>
  </si>
  <si>
    <t>Question 15</t>
  </si>
  <si>
    <t>Question 16</t>
  </si>
  <si>
    <t>Question 17</t>
  </si>
  <si>
    <t>Question 18</t>
  </si>
  <si>
    <t>Employment levels</t>
  </si>
  <si>
    <t>Les niveaux d’emploi de votre entreprise</t>
  </si>
  <si>
    <t>Employees’ wages</t>
  </si>
  <si>
    <t>Les salaires de vos employés</t>
  </si>
  <si>
    <t>Hours worked</t>
  </si>
  <si>
    <t>Le nombre d’heures de travail</t>
  </si>
  <si>
    <t>Pension plans</t>
  </si>
  <si>
    <t>Le régime de pension</t>
  </si>
  <si>
    <t>Benefits</t>
  </si>
  <si>
    <t>Les avantages sociaux</t>
  </si>
  <si>
    <t>Worker training and safety</t>
  </si>
  <si>
    <t>La formation et la sécurité des travailleurs.</t>
  </si>
  <si>
    <t>Question 19</t>
  </si>
  <si>
    <t>Question 20</t>
  </si>
  <si>
    <t>Question 21</t>
  </si>
  <si>
    <t>Question 22</t>
  </si>
  <si>
    <t>Question 23</t>
  </si>
  <si>
    <t>Question 24</t>
  </si>
  <si>
    <t>In which language would you prefer to complete this questionnaire?</t>
  </si>
  <si>
    <t>Due Date</t>
  </si>
  <si>
    <t>Failure to complete the questionnaire by the due date may result in the Tribunal issuing a production order, pursuant to section 17 of the Canadian International Trade Tribunal Act, to compel the production of a questionnaire response.</t>
  </si>
  <si>
    <t>Product Defn</t>
  </si>
  <si>
    <t xml:space="preserve">This questionnaire is divided into two parts:
</t>
  </si>
  <si>
    <t xml:space="preserve">Le présent questionnaire est divisé en deux parties :
</t>
  </si>
  <si>
    <t>The completed questionnaire can be submitted using one of the following methods:</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</si>
  <si>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</si>
  <si>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</si>
  <si>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</si>
  <si>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</si>
  <si>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HS Code defn change date</t>
  </si>
  <si>
    <t>HS Codes before change</t>
  </si>
  <si>
    <t>HS Codes after change</t>
  </si>
  <si>
    <t>Question 25</t>
  </si>
  <si>
    <t>Question 26</t>
  </si>
  <si>
    <t>Data Validation comments</t>
  </si>
  <si>
    <t>Describe your firm's production processes for the goods and provide flow charts illustrating the processes.</t>
  </si>
  <si>
    <t>Décrivez les processus de production de votre entreprise pour les marchandises et fournissez des organigrammes illustrant les processus.</t>
  </si>
  <si>
    <t>Note: Public/non-confidential information in this table is automatically generated from the information provided in the "Pro 1" and "Pro 2" tabs. Any changes to this public summary must therefore be made in the "Pro 1" and "Pro 2" tabs.</t>
  </si>
  <si>
    <t>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t>
  </si>
  <si>
    <t xml:space="preserve">If any of the calculated capacity utilization rates are higher than 100%, explain why this has occurred.
</t>
  </si>
  <si>
    <t>Number of Direct Employees Affected</t>
  </si>
  <si>
    <t>Nombre d'employés directs concernés</t>
  </si>
  <si>
    <t>References to "the goods" in this questionnaire refer to:</t>
  </si>
  <si>
    <t>Les références aux « marchandises » dans ce questionnaire font référence à :</t>
  </si>
  <si>
    <t xml:space="preserve">Description and specifications of the goods produced </t>
  </si>
  <si>
    <t>Description et spécifications des marchandises produites</t>
  </si>
  <si>
    <t>Si cette installation ne produit pas les marchandises, quelles modifications seraient nécessaires pour pouvoir produire les marchandises?</t>
  </si>
  <si>
    <t>If this facility does not produce the goods, what modifications would be needed to be able to produce the goods?</t>
  </si>
  <si>
    <t>Explain circumstances where Canadian purchasers are willing to pay a price premium for the goods produced in Canada and what the amount of that premium would be.</t>
  </si>
  <si>
    <t>Votre entreprise envisage-t-elle d'augmenter ou de diminuer la capacité pratique de son usine de production de marchandises au cours des deux prochaines années ? Incluez les dates cibles, la capacité pratique cible de l’usine, les usines concernées et les raisons du changement.</t>
  </si>
  <si>
    <t>Votre entreprise envisage-t-elle d'augmenter, de diminuer ou d'arrêter sa production de marchandises, soit dans les installations qui produisent actuellement les marchandises, soit dans les installations actuellement utilisées pour fabriquer d'autres produits, au cours des deux prochaines années? Fournissez les motifs et les hypothèses sous-tendant ces objectifs et ces stratégies.</t>
  </si>
  <si>
    <t>Votre entreprise envisage-t-elle de modifier la gamme de produits fabriqués sur le même équipement au cours des deux prochaines années? Fournissez les motifs et les hypothèses sous-tendant ces objectifs et ces stratégies.</t>
  </si>
  <si>
    <t>Indicate the primary industries of your customers of the goods.</t>
  </si>
  <si>
    <t xml:space="preserve">Primary Industry 1 </t>
  </si>
  <si>
    <t>Segment de marché 1</t>
  </si>
  <si>
    <t>Primary Industry 2</t>
  </si>
  <si>
    <t>Segment de marché 2</t>
  </si>
  <si>
    <t>Primary Industry 3</t>
  </si>
  <si>
    <t>Segment de marché 3</t>
  </si>
  <si>
    <t>If the volume of ending inventory in Question 1 on the Pro 2 tab differs from the calculated ending inventory, explain why there is a difference.</t>
  </si>
  <si>
    <t>Provide your firm’s strategies and objectives for the next two years with respect to the pricing of the goods. Provide the rationale and assumptions underlying these strategies and objectives.</t>
  </si>
  <si>
    <t>Type</t>
  </si>
  <si>
    <t>Indiquez le volume et la valeur des ventes intérieures provenant de la production nationale pour chaque produit de référence :</t>
  </si>
  <si>
    <t xml:space="preserve">When submitting the completed questionnaire using the secure E-filing service, designate the questionnaire as confidential. Note that the information in the public (blue) tabs in your questionnaire will be treated as public information.
</t>
  </si>
  <si>
    <t>Select Yes or No</t>
  </si>
  <si>
    <t xml:space="preserve">If your firm has more than one location, facility or outlet, submit a consolidated response to the questionnaire.
</t>
  </si>
  <si>
    <t xml:space="preserve">1. In accordance with the Guideline, some of the information included in your firm's injury allegations is considered by the Tribunal to be public/non-confidential in nature. This information is indicated by the letter “P”. This information will be used to generate your firm's response in the "Confirm" blue tab. Consequently, review to ensure that all information provided under the columns labelled "P" is public/non-confidential in nature. </t>
  </si>
  <si>
    <t>1. Aux termes de la Ligne directrice, le Tribunal considère que certains renseignements fournis dans les allégations de dommage de votre entreprise sont de nature publique/non confidentielle. Ces informations sont indiquées par la lettre « P ». Ces informations seront utilisées pour générer la réponse de votre entreprise sous l’onglet bleu « Confirm ». Par conséquent, vérifiez que toute l’information fournie dans les colonnes portant la mention « P » est de nature publique/non confidentielle.</t>
  </si>
  <si>
    <t>Cost of goods manufactured</t>
  </si>
  <si>
    <t>Cost of goods sold</t>
  </si>
  <si>
    <t>Direct employment</t>
  </si>
  <si>
    <t>Financial expenses</t>
  </si>
  <si>
    <t>General, selling and administrative expenses</t>
  </si>
  <si>
    <t>Indirect employment</t>
  </si>
  <si>
    <t>Net delivered selling value</t>
  </si>
  <si>
    <t>Net sales value</t>
  </si>
  <si>
    <t>Practical plant capacity</t>
  </si>
  <si>
    <t>L’emploi direct</t>
  </si>
  <si>
    <t>Frais généraux, de vente et d'administration</t>
  </si>
  <si>
    <t>L'emploi indirect</t>
  </si>
  <si>
    <t>Valeur de vente nette rendue</t>
  </si>
  <si>
    <t xml:space="preserve">La capacité pratique des usines
</t>
  </si>
  <si>
    <t xml:space="preserve">The direct costs attributable to the production of the goods sold by a company. This amount includes costs that are directly tied to the production of the goods, such as the cost of labour, materials, and manufacturing overhead (cost of goods manufactured). It excludes indirect expenses such as distribution costs and sales force costs. </t>
  </si>
  <si>
    <t>Les frais occasionnés par le financement d’une entreprise. Ces frais comprennent le versement de dividendes aux investisseurs, les intérêts des emprunts, les frais de rachat d’actions, les gains ou les pertes dans les opérations de change et autres dépenses occasionnées par le financement.</t>
  </si>
  <si>
    <t>Frais liés au fonctionnement normal d’une entreprise et non directement à la fabrication d’un produit. Ceux-ci comprennent les dépenses liées à la vente et à la promotion d’un produit ainsi qu’à la gestion de l’entreprise. Ces frais peuvent aussi comprendre des dépenses telles que les salaires du personnel de gestion et de vente, la publicité, les frais de consultation, les honoraires d’avocats, le loyer, les fournitures de bureau et les assurances.</t>
  </si>
  <si>
    <t>Describe whether there is seasonality in the Canadian market for the goods. Describe any seasonal patterns in your firm's production, inventory or sales of production in Canada.</t>
  </si>
  <si>
    <t>Décrivez s'il y a une saisonnalité sur le marché canadien pour les marchandises. Décrivez toute variation saisonnière de la production, du volume des stocks ou des ventes de la production de votre entreprise au Canada.</t>
  </si>
  <si>
    <t>Describe your firm's plans to manage financial performance in the next two years. Provide the rationale and assumptions underlying these strategies and objectives.</t>
  </si>
  <si>
    <t>Note: Public/non-confidential information in this table is automatically generated from the information provided in the rows denoted with a (P) in the "Pro 4" tab. Any changes to this public summary must therefore be made in the "Pro 4" tab.</t>
  </si>
  <si>
    <t>Note : L’information publique/non confidentielle dans ce tableau est générée automatiquement à partir de l’information fournie dans les lignes portant la mention « P » sous l’onglet « Pro 4 ». Par conséquent, toute modification à apporter à ce résumé public/non confidentiel doit être faite sous l’onglet « Pro 4 ».</t>
  </si>
  <si>
    <t>These allegations should be detailed, concrete, substantiated and verifiable. However, they should be limited in number to a sample of no more than 10, which is reasonably representative of the nature of the injury that is being alleged.</t>
  </si>
  <si>
    <t>Ces allégations doivent être détaillées, concrètes, fondées et vérifiables. Toutefois, l’échantillon choisi doit consister en un maximum de 10 exemples raisonnables de la nature du prétendu dommage.</t>
  </si>
  <si>
    <t>For additional details, view the "Info" tab.</t>
  </si>
  <si>
    <t xml:space="preserve">Questions relating to this questionnaire should be directed to:
</t>
  </si>
  <si>
    <t xml:space="preserve">Toutes les questions relatives au présent questionnaire doivent être adressées à :
</t>
  </si>
  <si>
    <t>Firm Name (In English and French, if applicable)</t>
  </si>
  <si>
    <t>Dénomination sociale (en français et en anglais, le cas échéant)</t>
  </si>
  <si>
    <t>Si votre entreprise possède plusieurs sites, installations ou points de vente, soumettez une réponse consolidée au questionnaire.</t>
  </si>
  <si>
    <t>Fournissez les noms et adresses des autres emplacements, installations et points de vente au Canada au nom desquels votre entreprise répond.</t>
  </si>
  <si>
    <t>Pour plus de détails, consultez l’onglet « Info ».</t>
  </si>
  <si>
    <t>DATE D’ÉCHÉANCE DU QUESTIONNAIRE</t>
  </si>
  <si>
    <t>Adresse de l’entreprise</t>
  </si>
  <si>
    <t>Lorsque vous soumettez le questionnaire complété à l’aide du service de dépôt électronique sécurisé, désignez le questionnaire comme confidentiel. Veuillez noter que les informations contenues dans les onglets publics (bleus) de votre questionnaire seront traitées comme des informations publiques.</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</si>
  <si>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</si>
  <si>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</si>
  <si>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Expenses incurred by a business due to its financing activities. Financing expenses include the outflow of cash to investors through dividends, interest from loans, costs from repurchasing stock, currency gains or losses, and other expenses from financing activities.</t>
  </si>
  <si>
    <t>The costs that occur during the daily operations of a company and not directly related to the manufacturing of the product. These include expenses related to the selling and promotion of a product as well as managing the company. GS&amp;A may include items such as management or salesperson salaries, advertising, consulting expenses, legal fees, rent and office supplies or insurance.</t>
  </si>
  <si>
    <t>Nature of association</t>
  </si>
  <si>
    <t>What publications or indices does your firm use to track the prices of direct materials used in the production of the goods?</t>
  </si>
  <si>
    <t>Quelles publications ou indices votre entreprise utilise-t-elle pour suivre les prix des matières directes utilisées dans la production des marchandises?</t>
  </si>
  <si>
    <t>Décrivez comment les coûts de livraison des marchandises vendues par votre entreprise sont payés.</t>
  </si>
  <si>
    <t>Expliquez les circonstances dans lesquelles les acheteurs canadiens sont prêts à payer une prime pour les marchandises produites au Canada. Quel serait le montant de cette prime?</t>
  </si>
  <si>
    <t>Si votre entreprise désire ajouter des commentaires concernant vos réponses, vous les inscrivez ici. Indiquez à quelle question se rapportent vos commentaires.</t>
  </si>
  <si>
    <t>Does your firm have any plans to increase or decrease its practical plant capacity of the goods in the next two years? Include target dates, target practical plant capacity, the plants involved and the reasons for the change.</t>
  </si>
  <si>
    <t>Does your firm have any plans to increase, decrease or shut down its production of the goods, either at facilities currently producing the goods or currently being used to produce other products, in the next two years? Provide the rationale and assumptions underlying these strategies and objectives.</t>
  </si>
  <si>
    <t>Does your firm have any plans to change the product mix of the goods produced on the same equipment, in the next two years? Provide the rationale and assumptions underlying these strategies and objectives.</t>
  </si>
  <si>
    <t>Production utilisée à l'interne ou destinée à la transformation ultérieure à l’interne</t>
  </si>
  <si>
    <t>Describe your firm’s plans to manage inventory levels, in the next two years. Provide the rationale and assumptions underlying these strategies and objectives.</t>
  </si>
  <si>
    <t xml:space="preserve">Report the volume and value of domestic sales from domestic production for each account listed below: </t>
  </si>
  <si>
    <t xml:space="preserve">Report the volume and value of domestic sales from domestic production for each benchmark product listed below: </t>
  </si>
  <si>
    <t xml:space="preserve">Complete the statement of the cost of goods manufactured for your firm's sales in Canada and export sales of the goods produced in Canada. </t>
  </si>
  <si>
    <t xml:space="preserve">Factory overhead </t>
  </si>
  <si>
    <t>Number of employees</t>
  </si>
  <si>
    <t>Wages paid</t>
  </si>
  <si>
    <t>Salaires payés</t>
  </si>
  <si>
    <t>Salaires horaires par employé direct</t>
  </si>
  <si>
    <t>Salaires horaires par employé indirect</t>
  </si>
  <si>
    <t>Fournissez l’emploi, les heures travaillées et les salaires payés de votre entreprise pour sa production des marchandises. Inclure les emplois utilisés dans la production pour les ventes intérieures, pour les ventes à l’exportation et pour l’utilisation interne ou la transformation ultérieure.</t>
  </si>
  <si>
    <t xml:space="preserve">If your firm would like to make customer-specific injury allegations for which it believes that the subject goods have caused it to lose accounts, lose some sales to an account, or reduce or suppress prices to retain sales, then provide the information requested below. </t>
  </si>
  <si>
    <t>COMMENTAIRES PROTÉGÉS</t>
  </si>
  <si>
    <t>Confirmez que toutes les valeurs déclarées dans ce questionnaire sont en dollars canadiens.</t>
  </si>
  <si>
    <t>Confirm that all values reported in this questionnaire are in Canadian Dollars.</t>
  </si>
  <si>
    <t>1000 character limit | limite de 1000 caractères</t>
  </si>
  <si>
    <t>Unaccounted</t>
  </si>
  <si>
    <t>Adresse courriel</t>
  </si>
  <si>
    <t>Perf</t>
  </si>
  <si>
    <t>Domestic Sales</t>
  </si>
  <si>
    <t>Total Firm</t>
  </si>
  <si>
    <t>Cost of goods manufactured ¹</t>
  </si>
  <si>
    <t>$000</t>
  </si>
  <si>
    <t>Tonnes</t>
  </si>
  <si>
    <t xml:space="preserve">Volume of goods manufactured </t>
  </si>
  <si>
    <t>Gross margin (loss)</t>
  </si>
  <si>
    <t xml:space="preserve">Direct materials used </t>
  </si>
  <si>
    <t>Direct labour</t>
  </si>
  <si>
    <t>Other expenses</t>
  </si>
  <si>
    <t>Less: ending inventory</t>
  </si>
  <si>
    <t>Net income (loss) before taxes</t>
  </si>
  <si>
    <t xml:space="preserve">Cost of goods manufactured </t>
  </si>
  <si>
    <t>Income statement</t>
  </si>
  <si>
    <t>Net sales volume (tonnes)</t>
  </si>
  <si>
    <t>AvgCost</t>
  </si>
  <si>
    <t>DM1</t>
  </si>
  <si>
    <t>DM2</t>
  </si>
  <si>
    <t>DM3</t>
  </si>
  <si>
    <t>All Other Direct Materials Used</t>
  </si>
  <si>
    <t>OtherPerf</t>
  </si>
  <si>
    <t>Practical plant capacity (tonnes)  |  Capacité pratique des usines (tonnes)</t>
  </si>
  <si>
    <t>Production (tonnes)</t>
  </si>
  <si>
    <t>For domestic sales  |  Pour les ventes nationales</t>
  </si>
  <si>
    <t xml:space="preserve">For export sales  |  Pour les ventes à l'exportation </t>
  </si>
  <si>
    <t xml:space="preserve">For further internal processing  |  Pour la transformation ultérieure
</t>
  </si>
  <si>
    <t>Total - Production</t>
  </si>
  <si>
    <t>Other goods produced on the same equipment</t>
  </si>
  <si>
    <t xml:space="preserve">Export sales  |  Ventes à l'exportation </t>
  </si>
  <si>
    <t>Total - Volume (tonnes)</t>
  </si>
  <si>
    <t>Total - Value ($000)  |  Valeur (000 $)</t>
  </si>
  <si>
    <t>Total - Unit value ($/tonne)  |  Valeur unitaire ($/tonne)</t>
  </si>
  <si>
    <t>Number of employees  |  Nombre d'employés</t>
  </si>
  <si>
    <t>Direct employment  |  Emploi direct</t>
  </si>
  <si>
    <t>Indirect employment  |  Emploi indirect</t>
  </si>
  <si>
    <t>Total - Number of employees  |  Total - Nombre d'employés</t>
  </si>
  <si>
    <t>Hours worked (000)  |  Nombre d'heures travaillées (000)</t>
  </si>
  <si>
    <t>Total - Hours worked (000)  |  Nombre d'heures travaillées (000)</t>
  </si>
  <si>
    <t>Projected  |  Projection</t>
  </si>
  <si>
    <t>Investments ($000)  |  Investissements (000 $)</t>
  </si>
  <si>
    <t>ImpMkts</t>
  </si>
  <si>
    <t>Respondent</t>
  </si>
  <si>
    <t>Resp. Type</t>
  </si>
  <si>
    <t>Trade Level</t>
  </si>
  <si>
    <t>DIST VS EU</t>
  </si>
  <si>
    <t>Exporter</t>
  </si>
  <si>
    <t>de minimis</t>
  </si>
  <si>
    <t>Source</t>
  </si>
  <si>
    <t>Other Country</t>
  </si>
  <si>
    <t>Transaction</t>
  </si>
  <si>
    <t>Sales to:</t>
  </si>
  <si>
    <t>Vol - 2020</t>
  </si>
  <si>
    <t>Vol - 2021</t>
  </si>
  <si>
    <t>Vol - 2022</t>
  </si>
  <si>
    <t>Val - 2020</t>
  </si>
  <si>
    <t>Val - 2021</t>
  </si>
  <si>
    <t>Val - 2022</t>
  </si>
  <si>
    <t>1 - Producer</t>
  </si>
  <si>
    <t>-</t>
  </si>
  <si>
    <t>DOM</t>
  </si>
  <si>
    <t>Dom</t>
  </si>
  <si>
    <t>Dom-Sls</t>
  </si>
  <si>
    <t>1 - Distributor</t>
  </si>
  <si>
    <t>2 - End user</t>
  </si>
  <si>
    <t>Regional</t>
  </si>
  <si>
    <t>Respondent Type</t>
  </si>
  <si>
    <t>From</t>
  </si>
  <si>
    <t>Section</t>
  </si>
  <si>
    <t>Region</t>
  </si>
  <si>
    <t>a</t>
  </si>
  <si>
    <t>Atlantic provinces  |  Provinces de l'Atlantique</t>
  </si>
  <si>
    <t>b</t>
  </si>
  <si>
    <t>Quebec and Ontario  |  Québec et Ontario</t>
  </si>
  <si>
    <t>c</t>
  </si>
  <si>
    <t>Manitoba and Saskatchewan  |  Manitoba et Saskatchewan</t>
  </si>
  <si>
    <t>d</t>
  </si>
  <si>
    <t>Alberta and British Columbia  |  Alberta et Colombie-Britannique</t>
  </si>
  <si>
    <t>e</t>
  </si>
  <si>
    <t>Nunavut, Yukon and Northwest Territories  |  Nunavut, Yukon et Territoires du Nord-Ouest</t>
  </si>
  <si>
    <t>Account #</t>
  </si>
  <si>
    <t>Name of Account</t>
  </si>
  <si>
    <t>Match</t>
  </si>
  <si>
    <t>A - DOM</t>
  </si>
  <si>
    <t>Account #1</t>
  </si>
  <si>
    <t>Account #2</t>
  </si>
  <si>
    <t>Account #3</t>
  </si>
  <si>
    <t>Account #4</t>
  </si>
  <si>
    <t>Account #5</t>
  </si>
  <si>
    <t>PRODUCTION</t>
  </si>
  <si>
    <t>1 - Domestic</t>
  </si>
  <si>
    <t>1 - Primes</t>
  </si>
  <si>
    <t>2 - Seconds</t>
  </si>
  <si>
    <t>2 - Export</t>
  </si>
  <si>
    <t>3 - Further Processing</t>
  </si>
  <si>
    <t>VOLUME</t>
  </si>
  <si>
    <t>VALUE</t>
  </si>
  <si>
    <t>UNIT VALUE</t>
  </si>
  <si>
    <t>Wages ($000)</t>
  </si>
  <si>
    <t>Total - Wages ($000)</t>
  </si>
  <si>
    <t>Tonnes / employee (direct)</t>
  </si>
  <si>
    <t>Tonnes / hour worked (direct)</t>
  </si>
  <si>
    <t>Inventories</t>
  </si>
  <si>
    <t>Total - Value ($000)</t>
  </si>
  <si>
    <t>Total - Unit value ($/tonne)</t>
  </si>
  <si>
    <t>Inquiry Type</t>
  </si>
  <si>
    <t>Sheet Type</t>
  </si>
  <si>
    <t>Del Cost Percentage of Value</t>
  </si>
  <si>
    <t>Volume</t>
  </si>
  <si>
    <t xml:space="preserve">% </t>
  </si>
  <si>
    <t>% Distribution</t>
  </si>
  <si>
    <t>TopAccounts</t>
  </si>
  <si>
    <t>De minimis</t>
  </si>
  <si>
    <t>Q1  |  T1 2023</t>
  </si>
  <si>
    <t>Q2  |  T2 2023</t>
  </si>
  <si>
    <t>Q3  |  T3 2023</t>
  </si>
  <si>
    <t>Q4  |  T4 2023</t>
  </si>
  <si>
    <t>Q1  |  T1 2024</t>
  </si>
  <si>
    <t>Q2  |  T2 2024</t>
  </si>
  <si>
    <t>Q3  |  T3 2024</t>
  </si>
  <si>
    <t>Q4  |  T4 2024</t>
  </si>
  <si>
    <t>Net Delivered Selling Value</t>
  </si>
  <si>
    <t>A</t>
  </si>
  <si>
    <t>2. E-mail to citt-tcce@tribunal.gc.ca if you accept the associated risks and you are filing information that belongs to your firm only.</t>
  </si>
  <si>
    <t>Direct Material No. 1</t>
  </si>
  <si>
    <t>Direct Material No. 2</t>
  </si>
  <si>
    <t>Direct Material No. 3</t>
  </si>
  <si>
    <t>CAD</t>
  </si>
  <si>
    <t>Describe your firm’s plans to manage the cost of direct materials for the next two years. Provide the rationale and assumptions underlying these strategies and objectives.</t>
  </si>
  <si>
    <t>Maximum length reached. Use the AddPub tab to add further info. | La limite maximale de caractères est atteinte. Utilisez l'onglet AddPub pour ajouter plus d'information.</t>
  </si>
  <si>
    <t>Maximum length reached. Use the AddPro tab to add further info. | La limite maximale de caractères est atteinte. Utilisez l'onglet AddPro pour ajouter plus d'information.</t>
  </si>
  <si>
    <t>Int period 1</t>
  </si>
  <si>
    <t>Int period 2</t>
  </si>
  <si>
    <t>Export sales</t>
  </si>
  <si>
    <t>Should your firm wish to add any comments related to its responses, submit them here. Be sure to indicate the applicable question number.</t>
  </si>
  <si>
    <t>Trade Level 2 (plural)</t>
  </si>
  <si>
    <t>HS codes</t>
  </si>
  <si>
    <t>Date of change</t>
  </si>
  <si>
    <t>First Year of POI</t>
  </si>
  <si>
    <t>Last Day of POI</t>
  </si>
  <si>
    <t>Last Year of POI</t>
  </si>
  <si>
    <t>If no, explain.</t>
  </si>
  <si>
    <t>Si non, expliquez.</t>
  </si>
  <si>
    <t>Produced the goods</t>
  </si>
  <si>
    <t>Produit les marchandises</t>
  </si>
  <si>
    <t>Imported the goods from any country as the importer of record</t>
  </si>
  <si>
    <t>• Report all sales to Canadian and foreign associated firms.</t>
  </si>
  <si>
    <t>• Report all sales as of the date of shipment to the customer or the customer’s warehouse.</t>
  </si>
  <si>
    <t>• Report all values in Canadian dollars (CAD).</t>
  </si>
  <si>
    <t>• Déclarez toutes les ventes aux entreprises associées canadiennes et étrangères.</t>
  </si>
  <si>
    <t>• Déclarez toutes les ventes à compter de la date de l’expédition au client ou à son entrepôt.</t>
  </si>
  <si>
    <t>• Déclarez toutes les valeurs en dollars canadiens (CAD).</t>
  </si>
  <si>
    <t xml:space="preserve">• The statements are to be prepared using a full absorption costing method and are to be reported on a calendar-year basis. 
</t>
  </si>
  <si>
    <t xml:space="preserve">• Les états doivent être établis selon la méthode du coût d'absorption totale et doivent être déclarés sur la base de l'année civile. </t>
  </si>
  <si>
    <t>Expliquez si cette installation produit les marchandises destinées au marché canadien et/ou au marché d'exportation</t>
  </si>
  <si>
    <t>Explain whether this facility produces the goods for the Canadian market and/or the export market</t>
  </si>
  <si>
    <t>Si l'un ou l'autre des taux d'utilisation de la capacité, tel que calculé, est supérieur à 100 %, expliquez.</t>
  </si>
  <si>
    <t>Déclarez le volume et la valeur des ventes intérieures provenant de la production nationale pour chaque client indiqué ci-dessous :</t>
  </si>
  <si>
    <t>Stock de clôture</t>
  </si>
  <si>
    <t>Non Imputé</t>
  </si>
  <si>
    <t>Stock de clôture des marchandises en cours de fabrication</t>
  </si>
  <si>
    <t>Si votre entreprise souhaite formuler des allégations de préjudice spécifique à un client pour lequel elle estime que les marchandises en cause lui ont fait perdre des clients, perdre certaines ventes à un client ou réduire ou supprimer les prix pour conserver les ventes, veuillez fournir les informations demandées ci-dessous.</t>
  </si>
  <si>
    <t>Niveau commercial (LD)</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</si>
  <si>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</si>
  <si>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</si>
  <si>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t>
  </si>
  <si>
    <t>Related firms</t>
  </si>
  <si>
    <t>Entreprises affiliées</t>
  </si>
  <si>
    <t>Subject Countries (incl. French pronouns)</t>
  </si>
  <si>
    <t>Additional Product Info</t>
  </si>
  <si>
    <t>Analyst 1</t>
  </si>
  <si>
    <t>Analyst 2</t>
  </si>
  <si>
    <t>Unit of measure (plural)</t>
  </si>
  <si>
    <t>Unit of measure (singular)</t>
  </si>
  <si>
    <t>distributors</t>
  </si>
  <si>
    <t>distributeurs</t>
  </si>
  <si>
    <t>Benchmark Product 1</t>
  </si>
  <si>
    <t>Benchmark Product 2</t>
  </si>
  <si>
    <t>Benchmark Product 3</t>
  </si>
  <si>
    <t>Benchmark Product 4</t>
  </si>
  <si>
    <t>Benchmark Product 5</t>
  </si>
  <si>
    <t>Benchmark Product 6</t>
  </si>
  <si>
    <t>Benchmark Product 7</t>
  </si>
  <si>
    <t>Benchmark Product 8</t>
  </si>
  <si>
    <t>Important notes for formatting</t>
  </si>
  <si>
    <t>Insert and merge rows where needed to expand height of text boxes.</t>
  </si>
  <si>
    <t>PRODUCERS' QUESTIONNAIRE | QUESTIONNAIRE À L’INTENTION DES PRODUCTEURS</t>
  </si>
  <si>
    <t>INTRODUCTION</t>
  </si>
  <si>
    <t>LANGUAGE PREFERENCE | PRÉFÉRENCE LINGUISTIQUE</t>
  </si>
  <si>
    <t>DEFINITION OF "THE GOODS"</t>
  </si>
  <si>
    <t>LA DÉFINITION "DES MARCHANDISES"</t>
  </si>
  <si>
    <t>DO YOU NEED TO COMPLETE THIS QUESTIONNAIRE?</t>
  </si>
  <si>
    <t>Instructions</t>
  </si>
  <si>
    <t>N/A</t>
  </si>
  <si>
    <t>FAILURE TO COMPLETE QUESTIONNAIRE</t>
  </si>
  <si>
    <t>QUESTIONNAIRE NON REMPLI</t>
  </si>
  <si>
    <t>QUESTIONS</t>
  </si>
  <si>
    <t>PRODUCERS' QUESTIONNAIRE</t>
  </si>
  <si>
    <t>QUESTIONNAIRE À L’INTENTION DES PRODUCTEURS</t>
  </si>
  <si>
    <t>QUESTIONNAIRE OUTLINE</t>
  </si>
  <si>
    <t>APERÇU DU QUESTIONNAIRE</t>
  </si>
  <si>
    <t>ADDITIONAL PRODUCT INFORMATION</t>
  </si>
  <si>
    <t>RENSEIGNEMENTS ADDITIONNELS SUR LE PRODUIT</t>
  </si>
  <si>
    <t>La valeur de vos ventes après déduction des escomptes au comptant, des remises sur quantité et des escomptes reportés, des rabais, des taxes, des ristournes et des primes, qu’ils soient indiqués ou non sur la facture. Incluez le coût de livraison.</t>
  </si>
  <si>
    <t>The value of your sales after the deduction of returns, allowances for damaged or missing goods and any discounts, rebates and incentives offered.</t>
  </si>
  <si>
    <t>La valeur de vos ventes après déduction des retours, rabais pour marchandises endommagées ou manquantes et tous rabais, escomptes et incitatifs offerts.</t>
  </si>
  <si>
    <t>GENERAL FIRM INFORMATION</t>
  </si>
  <si>
    <t>INFORMATIONS GÉNÉRALES SUR L'ENTREPRISE</t>
  </si>
  <si>
    <t>PRODUCTION AND CAPACITY</t>
  </si>
  <si>
    <t>PRODUCTION ET CAPACITÉ</t>
  </si>
  <si>
    <t>MARKET CHARACTERISTICS OF THE GOODS</t>
  </si>
  <si>
    <t>CARACTÉRISTIQUES DU MARCHÉ DES MARCHANDISES</t>
  </si>
  <si>
    <t>SALES</t>
  </si>
  <si>
    <t>VENTES</t>
  </si>
  <si>
    <t>MARKETS</t>
  </si>
  <si>
    <t>MARCHÉS</t>
  </si>
  <si>
    <t>PROTECTED</t>
  </si>
  <si>
    <t>PROTÉGÉ</t>
  </si>
  <si>
    <t>SALES AND INVENTORIES</t>
  </si>
  <si>
    <t>VENTES ET STOCKS</t>
  </si>
  <si>
    <t>REGIONAL SALES</t>
  </si>
  <si>
    <t>VENTES RÉGIONALES</t>
  </si>
  <si>
    <t>• Report only sales of your firm’s production in Canada. Sales of goods purchased from other Canadian producers should be excluded.</t>
  </si>
  <si>
    <t xml:space="preserve">• Indiquez seulement les ventes effectuées à partir de la production de votre entreprise au Canada. Les ventes de marchandises achetées auprès d’autres producteurs canadiens doivent être exclues. </t>
  </si>
  <si>
    <t>GLOSSARY</t>
  </si>
  <si>
    <t>GLOSSAIRE</t>
  </si>
  <si>
    <t>PRODUCTION AND SALES</t>
  </si>
  <si>
    <t>PRODUCTION ET VENTES</t>
  </si>
  <si>
    <t>GENERAL</t>
  </si>
  <si>
    <t>GÉNÉRAL</t>
  </si>
  <si>
    <t/>
  </si>
  <si>
    <t>Les marchandises sont généralement classées dans le Tarif des douanes sous les numéros suivants du Système harmonisé de désignation et de codification des marchandises (SH) :</t>
  </si>
  <si>
    <t>The undersigned certifies that the information supplied herein is complete and correct to the best of their knowledge and belief.</t>
  </si>
  <si>
    <t>Le soussigné déclare que, pour autant qu’il sache, les renseignements fournis aux présentes sont complets et exacts.</t>
  </si>
  <si>
    <t>2. Par courriel à l’adresse tcce-citt@tribunal.gc.ca si vous acceptez les risques connexes et vous transmettez des renseignements qui sont ceux de votre entreprise seulement.</t>
  </si>
  <si>
    <t>Complete the following table for your firm's Canadian production of the goods and other goods produced on the same equipment. 
Note, other products produced on the same equipment are any other products besides the goods as defined in the "Intro" tab that are produced using the same equipment.</t>
  </si>
  <si>
    <t>Event</t>
  </si>
  <si>
    <t>Événement</t>
  </si>
  <si>
    <t>Sélectionnez oui ou non</t>
  </si>
  <si>
    <t>NEGATIVE EFFECTS OF IMPORTS</t>
  </si>
  <si>
    <t>EFFETS NÉGATIFS DES IMPORTATIONS</t>
  </si>
  <si>
    <t>Yes</t>
  </si>
  <si>
    <t>No</t>
  </si>
  <si>
    <t>Oui</t>
  </si>
  <si>
    <t>Non</t>
  </si>
  <si>
    <t>Drop down lists (MODIFY AS PER CASE SPECIFICS)</t>
  </si>
  <si>
    <t>Explain any impacts on these outlooks should there be a finding of injury or threat of injury. Provide documents, or the names of documents, such as studies or articles in trade journals, that support your firm's statement.</t>
  </si>
  <si>
    <t>Expliquez les effets possibles sur ces perspectives advenant des conclusions du dommage ou du menace de dommage. Fournissez des documents, ou les noms de documents, tels que des études ou des articles dans des revues spécialisées, qui appuient la déclaration de votre entreprise.</t>
  </si>
  <si>
    <t>Question 27</t>
  </si>
  <si>
    <t>Intro, Pro4 Question 1</t>
  </si>
  <si>
    <t>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t>
  </si>
  <si>
    <t>SALES IN CANADA OF DOMESTIC PRODUCTION OF BENCHMARK PRODUCTS</t>
  </si>
  <si>
    <t>VENTES AU CANADA DE LA PRODUCTION NATIONALE DE PRODUITS DE RÉFÉRENCE</t>
  </si>
  <si>
    <t>DEVEZ-VOUS REMPLIR CE QUESTIONNAIRE?</t>
  </si>
  <si>
    <t>Remplir le tableau suivant pour les ventes et les stocks des marchandises par votre entreprise.</t>
  </si>
  <si>
    <t xml:space="preserve">Your firm handles delivery, and the cost is built into the price. </t>
  </si>
  <si>
    <t xml:space="preserve">The purchaser arranges and pays for delivery directly. </t>
  </si>
  <si>
    <t xml:space="preserve">Your firm handles delivery, but charges the purchaser separately for it. </t>
  </si>
  <si>
    <t>La livraison et ses frais sont pris en charge par l’acheteur.</t>
  </si>
  <si>
    <t>Votre entreprise s'occupe de la livraison mais les frais de livraison sont facturés séparément à l’acheteur.</t>
  </si>
  <si>
    <t>Votre entreprise s'occupe de la livraison et les frais de livraison sont inclus dans le prix de vente.</t>
  </si>
  <si>
    <t>Si le volume du stock de clôture à la question 1 sur l'onglet Pro 2 diffère du stock de clôture calculé, expliquez pourquoi il y a une différence.</t>
  </si>
  <si>
    <t>Importe les marchandises de n’importe quel pays en tant qu’importateur officiel</t>
  </si>
  <si>
    <t>Expliquez les changements que vous prévoyez voir sur le marché canadien et sur d’autres marchés mondiaux pour les marchandises au cours des deux prochaines années en ce qui concerne la demande, les prix, l’utilisation des capacités, les volumes d’importations ou tout autre facteur.</t>
  </si>
  <si>
    <t xml:space="preserve">Des coûts directs associés à la production des marchandises vendues par une entreprise. Ce montant comprend les coûts directement liés à la production des marchandises, comme les coûts pour la main-d'œuvre, la matière première et les frais indirects de fabrication (Coût des marchandises fabriquées). Sont exclues les dépenses indirectes telles que les frais de distribution et les coûts liés à la force de vente. </t>
  </si>
  <si>
    <t>Type d'affiliation</t>
  </si>
  <si>
    <t>Indiquez dans quels segments de marché ces marchandises sont vendues.</t>
  </si>
  <si>
    <t>Remplir le tableau suivant pour la production des marchandises par votre entreprise et d'autres produits fabriqués sur le même équipement au Canada. 
Remarque : les autres produits fabriqués sur le même équipement sont tous les autres produits autres que les marchandises définies dans l'onglet « Intro » qui sont fabriqués à l'aide du même équipement.</t>
  </si>
  <si>
    <t>Volume de production par heure d'emploi direct travaillée</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</si>
  <si>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</si>
  <si>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</si>
  <si>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</si>
  <si>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</si>
  <si>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</si>
  <si>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Describe "Other expenses".</t>
  </si>
  <si>
    <t>Décrire les "Autres dépenses".</t>
  </si>
  <si>
    <t>Explain any large changes between periods and any irregularities such as negative amounts in the amounts reported above.</t>
  </si>
  <si>
    <t>Does the total ending inventory reported in this question differ from the total ending inventory reported in question 1 of the Pro 2 tab?</t>
  </si>
  <si>
    <t>Note - The following amounts are calculated using the above responses and the production volume in question 1 of the Pro 1 tab. If the amounts are incorrect, modify your responses to the previous questions.</t>
  </si>
  <si>
    <t>Remarque - Les montants suivants sont basés sur les réponses fournies çi-dessus et à la question 1 dans l'onglet Pro 1. Si les montants sont incorrects, modifiez vos réponses aux questions précédentes.</t>
  </si>
  <si>
    <t>Pro 3, Question 9</t>
  </si>
  <si>
    <t>Yes, modify the amounts or explain below.</t>
  </si>
  <si>
    <t>When adding or modifying columns, please ensure the total of all column widths in a tab equals 1760 pixels to allow for consistent scaling when exported to PDF.</t>
  </si>
  <si>
    <t>i.e. columns B-L should be 160 pixels each.</t>
  </si>
  <si>
    <t>GRADES</t>
  </si>
  <si>
    <t>Using data provided in Question 1 on the Pro 1 and Pro 2 tabs, the questionnaire calculates ending inventory as follows:</t>
  </si>
  <si>
    <t>En utilisant les données fournies à la question 1 des onglets Pro 1 et Pro 2, le questionnaire calcule le stock de clôture comme suit :</t>
  </si>
  <si>
    <t>hiddenc</t>
  </si>
  <si>
    <t>Delivery costs</t>
  </si>
  <si>
    <t>Coûts de livraison</t>
  </si>
  <si>
    <t>The freight, handling, and insurance incurred by your firm from the point of direct shipment in Canada and included in the selling price or an estimate of such delivery costs incurred by your customers.</t>
  </si>
  <si>
    <t>Le fret, manutention et assurance, engagés par votre entreprise à partir du point d’expédition direct au Canada, et qui sont compris dans le prix de vente, ou une estimation des coûts de livraison engagés par vos clients.</t>
  </si>
  <si>
    <t>The value of your sales net of all discounts (cash, quantity or deferred), allowances, taxes, rebates and incentives, whether or not shown on the invoice. It includes all delivery costs.</t>
  </si>
  <si>
    <t xml:space="preserve">Costs that are directly tied to the production of the goods, such as the cost of labour, materials, and manufacturing overhead. It excludes indirect expenses such as distribution costs and sales force costs. </t>
  </si>
  <si>
    <t xml:space="preserve">Les coûts directement liés à la production des marchandises, comme les coûts pour la main-d'œuvre, la matière première et les frais indirects de fabrication. Sont exclues les dépenses indirectes telles que les frais de distribution et les coûts liés à la force de vente. </t>
  </si>
  <si>
    <t>Les coûts de main-d’œuvre des employés dont les tâches peuvent être facilement rattachées (par observation) à la production des marchandises et sont correctement considérées comme des coûts de main-d’œuvre directe dans la déclaration de l’entreprise sur le coût des marchandises fabriquées. Les marchandises peuvent être produites pour la vente intérieure, pour la vente à l’exportation et pour une utilisation interne ou une transformation interne ultérieure.</t>
  </si>
  <si>
    <t>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t>
  </si>
  <si>
    <t>The labour costs of plant personnel such as supervisors, superintendents and quality control employees, but does not include sales and administrative personnel.</t>
  </si>
  <si>
    <t>Les coûts de main-d'œuvre du personnel des usines, comme les surveillants, les chefs d’usine et les préposés au contrôle de la qualité, mais exclus le personnel de vente et d’administration.</t>
  </si>
  <si>
    <t>Does the net sales value (For Sale in Canada) reported in this question differ from the net delivered selling values (For Sale in Canada) reported in question 1 of the Pro 2 tab?</t>
  </si>
  <si>
    <t>Does the net sales value (For Export Sales) reported in this question differ from the net delivered selling values (For Export Sales) reported in question 1 of the Pro 2 tab?</t>
  </si>
  <si>
    <t>La valeur des ventes nettes (pour les ventes au Canada) déclarée dans cette question diffère-t-elle des valeurs des ventes nettes rendues déclarées (pour les ventes au Canada) à la question 1 de l'onglet Pro 2?</t>
  </si>
  <si>
    <t>La valeur des ventes nettes (pour les ventes à l'exportation) déclarée dans cette question diffère-t-elle des valeurs des ventes nettes rendues déclarées (pour les ventes à l'exportation) à la question 1 de l'onglet Pro 2?</t>
  </si>
  <si>
    <t>Verification - volume</t>
  </si>
  <si>
    <t>Vérification - volume</t>
  </si>
  <si>
    <t>Verification - value</t>
  </si>
  <si>
    <t>Vérification - valeur</t>
  </si>
  <si>
    <t>Error</t>
  </si>
  <si>
    <t>Erreur</t>
  </si>
  <si>
    <t>Okay</t>
  </si>
  <si>
    <t>Correct</t>
  </si>
  <si>
    <t>Pro 2 tab, Questions 14, 15</t>
  </si>
  <si>
    <t>Verification Tables (MODIFY AS PER CASE SPECIFICS)</t>
  </si>
  <si>
    <t>Number of hours worked</t>
  </si>
  <si>
    <t>Beginning inventory - do not include production for internal use or further internal processing</t>
  </si>
  <si>
    <t>Stock d'ouverture - ne pas inclure la production utilisée à l'interne ou destinée à la transformation ultérieure à l’interne</t>
  </si>
  <si>
    <t>Ending inventory - do not include production for internal use or further internal processing</t>
  </si>
  <si>
    <t>Stock de clôture - ne pas inclure la production utilisée à l'interne ou destinée à la transformation ultérieure à l’interne</t>
  </si>
  <si>
    <t>Le stock de clôture combiné déclaré dans cette question diffère-t-il du stock de clôture total déclaré à la question 1 de l'onglet Pro 2?</t>
  </si>
  <si>
    <t>Select all that apply</t>
  </si>
  <si>
    <t>Sélectionnez toutes les réponses qui s'appliquent</t>
  </si>
  <si>
    <t>Benchmark Period 1</t>
  </si>
  <si>
    <t>Benchmark Period 2</t>
  </si>
  <si>
    <t>Benchmark Period 3</t>
  </si>
  <si>
    <t>Benchmark Period 4</t>
  </si>
  <si>
    <t>Benchmark Period 5</t>
  </si>
  <si>
    <t>Benchmark Period 6</t>
  </si>
  <si>
    <t>Benchmark Period 7</t>
  </si>
  <si>
    <t>Benchmark Period 8</t>
  </si>
  <si>
    <t>Last Quarter of POI (ie. 1, 2, 3, 4)</t>
  </si>
  <si>
    <t>Verification Period 1</t>
  </si>
  <si>
    <t>Verification Period 2</t>
  </si>
  <si>
    <t>Verification Period 3 (if applicable)</t>
  </si>
  <si>
    <t>q1</t>
  </si>
  <si>
    <t>q2</t>
  </si>
  <si>
    <t>q3</t>
  </si>
  <si>
    <t>q4</t>
  </si>
  <si>
    <t>jan-mar</t>
  </si>
  <si>
    <t>jan-jun</t>
  </si>
  <si>
    <t>jan-sep</t>
  </si>
  <si>
    <t>jan-dec</t>
  </si>
  <si>
    <t>jan</t>
  </si>
  <si>
    <t>feb</t>
  </si>
  <si>
    <t>mar</t>
  </si>
  <si>
    <t>apr</t>
  </si>
  <si>
    <t>may</t>
  </si>
  <si>
    <t>jun</t>
  </si>
  <si>
    <t>jul</t>
  </si>
  <si>
    <t>aug</t>
  </si>
  <si>
    <t>sep</t>
  </si>
  <si>
    <t>oct</t>
  </si>
  <si>
    <t>nov</t>
  </si>
  <si>
    <t>dec</t>
  </si>
  <si>
    <t>due month</t>
  </si>
  <si>
    <t>3 months prior</t>
  </si>
  <si>
    <t>last poi</t>
  </si>
  <si>
    <t>The goods are commonly classified in the Customs Tariff under the following Harmonized Commodity Description and Coding System (HS) numbers:</t>
  </si>
  <si>
    <t>Calculated ending inventory</t>
  </si>
  <si>
    <t>Stock de clôture calculé</t>
  </si>
  <si>
    <t>Difference between the reported ending inventory in Question 1 above and the calculated ending inventory</t>
  </si>
  <si>
    <t>Différence entre le stock de clôture déclaré à la question 1 ci-dessus et le stock de clôture calculé</t>
  </si>
  <si>
    <t>Describe how your firm allocated the following expenses in your response to the income statements provided in Question 5 of this tab:</t>
  </si>
  <si>
    <t>Décrivez comment votre entreprise a réparti les dépenses suivantes dans votre réponse aux états de résultats fournis à la question 5 de cet onglet :</t>
  </si>
  <si>
    <t>Total sales in Canada</t>
  </si>
  <si>
    <t>Ventes totales au Canada</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</si>
  <si>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</si>
  <si>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</si>
  <si>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From your total net delivered sales in Canada (reported in Question 1), what percentage was delivery costs?</t>
  </si>
  <si>
    <t xml:space="preserve">Parmi vos ventes nettes livrées totales au Canada (déclarées à la question 1), quel pourcentage représentait les frais de livraison? </t>
  </si>
  <si>
    <t>Provide your firm's domestic sales volumes of the goods produced in Canada by region.</t>
  </si>
  <si>
    <t>Fournissez les volumes des ventes nationales des marchandises fabriquées au Canada par votre entreprise, par région.</t>
  </si>
  <si>
    <t>Expliquez toute variation importante entre les périodes et toute irrégularité tels que des montants négatifs dans les montants indiqués ci-dessus.</t>
  </si>
  <si>
    <t>Total - Materials</t>
  </si>
  <si>
    <t>Total - matériaux</t>
  </si>
  <si>
    <t>COST OF GOODS MANUFACTURED - FOR THE GOODS ONLY</t>
  </si>
  <si>
    <t>INCOME STATEMENT - FOR THE GOODS ONLY</t>
  </si>
  <si>
    <t>INCOME STATEMENT - FOR TOTAL FIRM</t>
  </si>
  <si>
    <t>ÉTAT DES RÉSULTATS - POUR L'ENSEMBLE DE L'ENTREPRISE</t>
  </si>
  <si>
    <t>Oui, modifiez les données ou expliquez ci-dessous.</t>
  </si>
  <si>
    <t>COÛT DES MARCHANDISES FABRIQUÉES - POUR LES MARCHANDISES SEULEMENT</t>
  </si>
  <si>
    <t>ÉTAT DES RÉSULTATS  - POUR LES MARCHANDISES SEULEMENT</t>
  </si>
  <si>
    <t>CONTACT INFORMATION OF THE PERSON WHO COMPLETED THIS QUESTIONNAIRE</t>
  </si>
  <si>
    <t>COORDONNÉES DE LA PERSONNE QUI A REMPLI LE QUESTIONNAIRE</t>
  </si>
  <si>
    <t>Name</t>
  </si>
  <si>
    <t>Nom</t>
  </si>
  <si>
    <t>Title</t>
  </si>
  <si>
    <t>Titre</t>
  </si>
  <si>
    <t>If your firm did not produce the goods, please explain.</t>
  </si>
  <si>
    <t>Si votre entreprise n'a pas produit les marchandises, veuillez expliquer.</t>
  </si>
  <si>
    <t>decorative and other non-structural plywood</t>
  </si>
  <si>
    <t>dumping and the subsidizing</t>
  </si>
  <si>
    <t>le dumping et le subventionnement</t>
  </si>
  <si>
    <t>China</t>
  </si>
  <si>
    <t>de la Chine</t>
  </si>
  <si>
    <t>en Chine</t>
  </si>
  <si>
    <t>Thy Dao</t>
  </si>
  <si>
    <t>thy.dao@tribunal.gc.ca</t>
  </si>
  <si>
    <t>613-558-6438</t>
  </si>
  <si>
    <t>Andrew Wigmore</t>
  </si>
  <si>
    <t>andrew.wigmore@tribunal.gc.ca</t>
  </si>
  <si>
    <t>613-558-9353</t>
  </si>
  <si>
    <t>Contreplaqués décoratifs et autres contreplaqués non structuraux, même à surface revêtue ou recouverte, et plateformes à âme en placage pour la production de contreplaqués décoratifs et autres contreplaqués non structuraux. Les contreplaqués décoratifs et autres contreplaqués non structuraux sont définis comme des contreplaqués multicouches plats ou autres panneaux plaqués, constitués d’au moins deux couches ou épaisseurs de placages en bois et d’une âme, dont la face et/ou le dos sont plaqués en bois. Les placages ainsi que l’âme sont collés ou autrement liés entre eux. Les contreplaqués décoratifs et autres contreplaqués non structuraux comprennent les produits répondant à l’American National Standard for Hardwood and Decorative Plywood, ANSI/HPVA HP-1-2016 (y compris toute révision de cette norme).
Sont exclus les produits suivants :
a. Contreplaqués structuraux (i) qui sont fabriqués pour répondre aux normes CSA O121 (contreplaqué de sapin de Douglas), CSA O151 (contreplaqué de bois résineux canadien), CSA O153 (contreplaqué de peuplier), ou à la norme de produits des États-Unis PS 1-09, PS 2-09 ou PS 2-10 destinée aux contreplaqués structuraux (y compris toute révision de cette norme ou de toute norme internationale sensiblement équivalente destinée aux contreplaqués structuraux), (ii) dont la face et le dos sont plaqués en bois de conifères, et (iii) qui sont destinés à des applications structurales. 
b. Produits de contreplaqués finis pour revêtement de sol;
c. Contreplaqués ayant une forme ou des caractéristiques autres que celles d’un panneau plat; 
d. Panneaux Plyform à face de film phénolique (PFF), aussi appelés contreplaqués à film de surface phénolique (PSF), définis comme des panneaux relevant de la classe de liaison « Exterior » ou « Exposure 1 » de l’Engineered Wood Association, ayant une couche de film phénolique opaque d’un poids égal ou supérieur à 90 grammes par mètre cube, liée en permanence sur la face et le dos des placages, ainsi qu’un revêtement opaque résistant à l’humidité appliqué sur les bords; et
e. Composants de portes et de fenêtres en bois de placage stratifié ayant (1) une largeur maximale de 44 millimètres, une épaisseur de 30 millimètres à 72 millimètres et une longueur inférieure à 2413 millimètres, (2) un adhésif extérieur à point d’ébullition de l’eau, (3) un module d’élasticité de 1 500 000 livres par pouce carré ou plus, (4) un placage d’âme assemblé par entures multiples ou par que le grain soit parallèle, ou dont au plus trois couches dispersées de placage sont orientées de manière à ce que le grain soit perpendiculaire aux autres couches, et (5) une couche supérieure usinée comportant un bord incurvé et un ou plusieurs canaux profilés sur toute la longueur.</t>
  </si>
  <si>
    <t>https://www.cbsa-asfc.gc.ca/sima-lmsi/i-e/donp22026/donp22026-in-eng.html#3-2</t>
  </si>
  <si>
    <t>https://www.cbsa-asfc.gc.ca/sima-lmsi/i-e/donp22026/donp22026-in-fra.html#3-2</t>
  </si>
  <si>
    <t>MSF</t>
  </si>
  <si>
    <t>MPC</t>
  </si>
  <si>
    <t>retailers</t>
  </si>
  <si>
    <t>détaillants</t>
  </si>
  <si>
    <t>4412.10.00.00,  4412.39.00.21,
4412.31.00.00, 4412.39.00.22,
4412.33.00.10, 4412.39.00.23,
4412.33.00.20,  4412.39.00.90,
4412.33.00.30,  4412.91.00.00,
4412.33.00.90,  4412.92.00.00,
4412.34.00.00,  4412.99.00.00,
4412.39.00.10</t>
  </si>
  <si>
    <t>4412.10.00.00, 4412.39.00.21,
4412.31.00.00, 4412.39.00.22,
4412.33.00.10, 4412.39.00.23,
4412.33.00.20, 4412.39.00.90,
4412.33.00.30, 4412.91.00.00,
4412.33.00.90, 4412.92.00.00,
4412.34.00.00, 4412.99.00.00,
4412.39.00.10</t>
  </si>
  <si>
    <t>Face grade</t>
  </si>
  <si>
    <t>Nuance de face</t>
  </si>
  <si>
    <t>Face - wood species</t>
  </si>
  <si>
    <t>Face - espèces de bois</t>
  </si>
  <si>
    <t>Coating</t>
  </si>
  <si>
    <t>Revêtement</t>
  </si>
  <si>
    <t>Cut</t>
  </si>
  <si>
    <t>Coupe</t>
  </si>
  <si>
    <t>Core</t>
  </si>
  <si>
    <t>Âme</t>
  </si>
  <si>
    <t>Panel thickness</t>
  </si>
  <si>
    <t>Panel Sizes</t>
  </si>
  <si>
    <t>Sold in Canada or exported?</t>
  </si>
  <si>
    <t>Vendus au Canada ou exportés?</t>
  </si>
  <si>
    <t>March 31, 2026</t>
  </si>
  <si>
    <t>31 mars 2026</t>
  </si>
  <si>
    <t>Jan-Mar 2025</t>
  </si>
  <si>
    <t>Jan-Mar 2026</t>
  </si>
  <si>
    <t>janv.-mars 2025</t>
  </si>
  <si>
    <t>janv.-mars 2026</t>
  </si>
  <si>
    <t>NUANCES</t>
  </si>
  <si>
    <t>Apr-Dec 2024</t>
  </si>
  <si>
    <t>avr-déc. 2024</t>
  </si>
  <si>
    <t>contreplaqués décoratifs et autres contreplaqués non structuraux</t>
  </si>
  <si>
    <t>Note - Direct wages paid for domestic sales and exports sales are provided by the response in Question 1 above.</t>
  </si>
  <si>
    <t>Remarque - Les salaires directs payés pour les ventes intérieures et les ventes à l'exportation sont fournis par la réponse à la question 1 ci-dessus.</t>
  </si>
  <si>
    <t>Taille du panneau</t>
  </si>
  <si>
    <t>Épaisseur du panneau</t>
  </si>
  <si>
    <t>Does the total net sales value reported in this question exceed your firm's total net sales value reported in question 11 in this tab?</t>
  </si>
  <si>
    <t>La valeur totale des ventes nettes déclarée dans cette question dépasse-t-elle la valeur totale des ventes nettes de votre entreprise déclarée à la question 11 de cet onglet?</t>
  </si>
  <si>
    <t>Analyst 3</t>
  </si>
  <si>
    <t>William Phan</t>
  </si>
  <si>
    <t>william.phan@tribunal.gc.ca</t>
  </si>
  <si>
    <t>end users/OEM</t>
  </si>
  <si>
    <t>utilisateurs finals/FEO</t>
  </si>
  <si>
    <t>Decorative plywood is a flat, multilayered plywood or other veneered panel, consisting of two or more layers or plies of wood veneers and a core, with the face and/or back veneer made of wood and is sometimes referred to as “hardwood plywood”, “plywood” or “engineered wood”.
A veneer is a slice of wood which is cut, sliced or sawed from a log, bolt, or flitch. A bolt is a short log, usually cut to a specific length, that is ready to be processed on a lathe and a flitch is the veneer sliced/cut from a bolt. To be called a “veneer”, the slice of wood would generally be 6mm or less in thickness. The face and back veneers are the outermost veneer of wood on either side of the core irrespective of additional surface coatings or covers as described below.
A core is the layer or layers of one or more material that are situated between the face and back veneers. The core may be composed of a range of materials, including but not limited to veneer core platforms (consisting of one or more veneers of hardwood or softwood), particleboard, or medium-density fiberboard (MDF).
Veneer core platforms are cores composed of hardwood or softwood veneers. A veneer core platform would consist of at least two plies of wood. A veneer core platform may also be called a veneer core blank. A veneer core platform is itself covered by the product definition when the veneer core platforms are for the production of decorative and other non-structural plywood, and are themselves included as subject goods. The other types of cores (e.g. particleboard, MDF) on their own are not covered by the product definition. Decorative plywood that is made with those other cores are covered by the product definition.
Decorative plywood is generally described by the number of plies, overall thickness, width, length, species of face ply, grade of face and back ply, pattern or type of cut of face ply, and type of core.
Other than the products excluded from the product definition, all decorative plywood are included within the scope of these investigations regardless of whether or not the face and/or back veneers are surface coated or covered and whether or not such surface coating or cover obscures the grain, textures, or markings of the wood. Examples of surface coatings and covers include, but are not limited to: ultra-violet light cured polyurethanes; oil or oil-modified or water based polyurethanes; wax; epoxy-ester finishes; moisture-cured urethanes; paints; stains; paper; aluminum; high pressure laminate; MDF; medium density overlay (MDO); and phenolic film. Additionally, the face veneer of decorative plywood may be sanded; smoothed or given a “distressed” appearance through such methods as hand-scraping or wire brushing.
Phenolic Film Faced Plyform (PFF), also known as Phenolic Surface Film Plywood (PSF), as described in the product definition exclusion sections, is excluded from the product definition. This product is a film-faced plywood for use in concrete forming.</t>
  </si>
  <si>
    <t xml:space="preserve">Les contreplaqués décoratifs sont des contreplaqués multicouches plats ou autres panneaux plaqués, constitués d’au moins deux couches ou épaisseurs de placages en bois et d’une âme, dont la face et/ou le dos sont plaqués en bois; on les appelle parfois « contreplaqués de feuillus », simplement « contreplaqués », ou « bois d’ingénierie ».
Un placage est une tranche de bois coupée, tranchée ou sciée à partir d’une bille, d’un billon ou d’un quartelot. Un billon est une bille courte, généralement coupée à longueur, prête pour transformation sur un tour. Un quartelot, enfin, constitue le placage coupé ou tranché à partir d’un billon. Pour être appelée « placage », la tranche de bois doit généralement avoir une épaisseur de 6 millimètres ou moins. Les placages de face et de dos sont le placage de bois extérieur de chaque côté de l’âme, indépendamment des revêtements ou couvertures de surface supplémentaires décrits ci-dessous.
Une âme est constituée de la ou des couches composées d’un ou de plusieurs matériaux se trouvant entre les placages de face et de dos. L’âme peut être composée d’une gamme de matériaux, y compris les plateformes à âme en placage (constituées d’un ou de plusieurs placages de feuillus ou de résineux), les panneaux de particules ou les panneaux de fibres à densité moyenne (MDF).
Les plateformes à âme en placage sont des âmes composées de placages de feuillus ou de résineux. Une plateforme à âme en placage est constituée d’au moins deux couches de bois. Elle peut aussi être appelée « blanc à âme en placage ». Une plateforme à âme en placage est elle-même couverte par la définition du produit si elle est destinée à la production de contreplaqués décoratifs et autres contreplaqués non structuraux, et est elle-même comprise à titre de marchandises en cause. Les autres types d’âmes (p. ex. panneaux de particules, MDF) ne sont pas eux-mêmes couverts par la définition de produits, contrairement aux panneaux décoratifs et autres panneaux non structuraux qui sont fabriqués à partir de ces autres âmes.
Les contreplaqués décoratifs sont généralement décrits en fonction du nombre de couches, de l’épaisseur totale, de la largeur, de la longueur, de l’essence de la couche de face, de la nuance de la couche de face et de dos, du motif ou du type de coupe de la couche de face, ainsi que du type d’âme.
Outre les produits exclus de la définition de produits, tous les contreplaqués décoratifs entrent dans la portée des présentes enquêtes, que les placages de face et/ou de dos soient ou non revêtus ou recouverts en surface et que ce ou ces revêtements ou couvertures de surface masquent ou non le grain, la texture ou les marques du bois. Des exemples de revêtements et couvertures de surface sont les polyuréthanes durcis aux rayons ultraviolets; les polyuréthanes à base d’huile ou modifiés à l’huile, ou à base d’eau; la cire; les finitions à l’ester époxyde; les uréthanes durcis à l’humidité; les peintures; les teintures; le papier; l’aluminium; les stratifiés haute pression; les MDF; les revêtements de densité moyenne (MDO); et le film phénolique. De plus, le placage de face des contreplaqués décoratifs et non structuraux peut être poncé, lissé ou « usé » par des méthodes comme le raclage ou le brossage métallique.
</t>
  </si>
  <si>
    <t xml:space="preserve">Decorative plywood is primarily manufactured as a panel. The most common panel sizes are 1219 x 1829 mm (48 x 72 inches), 1219 x 2438 mm (48 x 96 inches), and 1219 x 3048mm (48 x 120 inches). However, these panels are often cut-to-size by the manufacturer in accordance with a customer’s requirements. The most common thicknesses of the panels range from 3.2 mm (1/8 inch) to 38 mm (1.5 inches). Regardless of the actual dimensions, all products that meet the product definition are included as subject goods.
Finished plywood which is used as flooring is excluded from the product definition. Construction-grade plywood used as subflooring is a structural plywood and is not covered by the product definition. However, the underlayment (a thin panel installed above the subflooring) is not structural and is not used as flooring, and therefore falls within the product definition.
Decorative plywood is not required to meet a standard or certification. However, there is a voluntary standard called the American National Standard for Hardwood and Decorative Plywood, ANSI/HPVA HP-1-2024 (current version) that is commonly used in Canada and the United States. In contrast, structural plywood (which is not subject) must be certified as it is intended to be used for construction applications; it is manufactured to meet various CSA standards for structural plywood.
In the context of this product definition, “non-structural” plywood refers to plywood which does not meet the requirements of a “structural” plywood, but is also not “decorative” in its application. These products are sometimes referred to as “utility panels” or “industrial panels”. Generally, these products would not have a thin face veneer. Non-structural plywood is used in applications such as shelving, garage cabinets, or dog houses. This type of plywood could also be used as “framestock” for the frames of sofas. It could even be possible that some manufacturers could use these for the interiors of cabinets or furniture if the plywood will be painted.
Decorative plywood is produced on a custom basis. The production process is flexible and can produce goods to exact customer specifications. While some distributors may stock inventory for purchase by end-users, the typical purchase of decorative plywood is made in advance of production, on a spot (as opposed to contractual) basis.
As decorative plywood is typically used for decorative purposes, the appearance of the face ply, and, where exposed, the back ply, is often an important feature of the plywood. For this reason, grades are assigned to the face and back plies which encompass such characteristics as colour streaks or spots, colour variations, burls, and pin knots. Some manufacturers offer proprietary or custom grades. However, the consensus grading standards are set forth in ANSI/HPVA HP-1-2024.
</t>
  </si>
  <si>
    <t xml:space="preserve">Les PFF, aussi appelés PSF, tels que décrits dans les alinéas des exclusions de la définition du produit, sont exclus de la définition du produit. Il s’agit de contreplaqués à face de film destinés au coffrage pour béton.
Les contreplaqués décoratifs sont surtout fabriqués sous forme de panneaux. Les dimensions des panneaux les plus courantes sont de 1219 x 1829 millimètres (48 x 72 pouces), de 1219 x 2438 millimètres (48 x 96 pouces) et de 1219 x 3048 millimètres (48 x 120 pouces). Cependant, ces panneaux sont souvent coupés aux dimensions par le fabricant selon les exigences du client. Les épaisseurs les plus courantes vont de 3,2 millimètres (⅛ pouce) à 25,4 millimètres (1 pouce). Indépendamment des dimensions réelles, tous les produits qui correspondent à la définition de produits sont compris à titre de marchandises en cause.
Les contreplaqués finis qui sont utilisés comme revêtement de sol sont exclus de la définition du produit. Séparément, les contreplaqués de construction sont utilisés comme support de revêtement de sol. Puisqu’il s’agit de contreplaqués structuraux, ils ne sont pas couverts par la définition de produits. Cependant, la sous-couche (un panneau mince installé au-dessus du support de revêtement de sol) n’est pas structurale et n’est pas utilisée comme revêtement de sol, ce qui fait qu’elle est visée par la définition de produits.
Les contreplaqués décoratifs ne sont assujettis à aucune norme ni aucune certification obligatoire. Il existe une norme volontaire (non obligatoire) appelée American National Standard for Hardwood and Decorative Plywood, ANSI/HPVA HP-1-2016 (version actuelle). Par contraste, les contreplaqués structuraux (non en cause) doivent être certifiés puisqu’ils sont destinés à la construction; ils sont fabriqués pour répondre à diverses normes pertinentes du groupe CSA.
Pour l’application de la définition de produits, les contreplaqués « non structuraux » désignent les contreplaqués qui non seulement ne répondent pas aux exigences de contreplaqués « structuraux », mais aussi ne sont pas « décoratifs » dans leur application. Ces produits sont parfois appelés « panneaux utilitaires » ou « panneaux industriels ». En règle générale, ils ne comportent pas de placage de face mince. Les contreplaqués non structuraux servent par exemple pour les étagères, les armoires de garage ou les niches. Ce type de contreplaqués peut aussi être utilisé comme « charpente » des cadres de sofas. Certains fabricants pourraient même se servir des contreplaqués, s’ils doivent être peints, pour l’intérieur d’armoires ou de meubles.
Les contreplaqués décoratifs se fabriquent sur mesure. Le procédé de fabrication est très souple et peut produire des marchandises selon les spécifications exactes du client. Bien que certains distributeurs puissent constituer des stocks en vue de l’achat par les utilisateurs finaux, l’achat typique de contreplaqués décoratifs est effectué avant la production, sur une base ponctuelle (plutôt que contractuelle).
</t>
  </si>
  <si>
    <t>The face ply is the side of the product that is exposed to view after installation. Face grades are delineated as “AA”, “A”, “B”, “C”, “D” and “E”, where “AA” would be considered the most aesthetically pleasing in appearance with no imperfections in the appearance and “E” would be the least aesthetically pleasing veneer face (e.g. lots of knots in the wood). A veneer face with a higher grade (e.g. “AA”) would generally entail a higher price compared to a veneer face with a lower grade (e.g. “E”). Wood species commonly used for the face veneer include ash, oak, birch, maple, cherry, pine, walnut, poplar, alder and numerous tropical hardwood species such as meranti, mahogany and Brazilian Cherry (also referred to as Jatoba). Bamboo may also be used for the face ply. Back grades are delineated as “1”, “2”, “3” or “4” (also listed in descending order of quality of grade).
Decorative plywood is generally made from hardwood trees (i.e., deciduous or non-coniferous trees), but may also be made from softwood trees. Structural or construction plywood is generally made from softwood trees (i.e., coniferous trees).
The manner in which a log is cut determines the appearance of the wood grain in the resulting veneers. This is of particular importance for the face ply, and where exposed, the back ply. The most common cuts for decorative plywood are rotary, quarter sliced, plain-cut (or flat-cut), and rift-cut.</t>
  </si>
  <si>
    <t>Puisque les contreplaqués décoratifs servent typiquement à des fins décoratives, l’aspect de la couche de face et de la couche de dos, si exposée, est souvent une caractéristique importante des contreplaqués. C’est pourquoi des nuances sont attribuées aux couches de face et de dos, lesquelles englobent des caractéristiques comme les traînées ou les taches de couleur, les variations de couleur, les nœuds recouverts et les petits nœuds. Certains fabricants proposent des nuances brevetées ou sur mesure. Cependant, les normes de classement consensuelles sont énoncées dans la norme ANSI/HPVA HP-1-2024.
La couche de face est le côté du produit qui est exposé à la vue après installation. Les nuances de la couche de face sont « AA », « A », « B », « C », « D » et « E », où « AA » est la face de placage la plus belle et « E », la moins belle (p. ex. beaucoup de nœuds dans le bois). Une face de placage de nuance supérieure (p. ex. « AA ») entraîne généralement un prix plus élevé qu’une face de placage de nuance inférieure (p. ex. « E »). Les essences de bois les plus communes pour le placage de face sont le frêne, le chêne, le bouleau, l’érable, le cerisier, le pin, le noyer, le peuplier, l’aulne, et les feuillus tropicaux comme le meranti, l’acajou et le cerisier de Cayenne. Le bambou peut également être utilisé pour la couche de face. Les nuances de la couche de dos sont « 1 », « 2 », « 3 » et « 4 » (aussi énumérées en ordre descendant de qualité).
Les contreplaqués décoratifs sont généralement fabriqués à partir de feuillus (c.-à-d. d’arbres à feuilles caduques ou non-conifères), mais peuvent aussi l’être à partir de résineux. Les contreplaqués structuraux ou de construction sont généralement fabriqués à partir de résineux (c.-à-d. des conifères).
La façon dont une bille est coupée détermine l’aspect du grain du bois dans les placages qui en résultent, ce qui revêt une importance particulière pour la couche de face et la couche de dos, si elle est exposée. Les coupes les plus courantes des contreplaqués décoratifs sont la coupe rotative, la coupe sur quartier, la coupe plate (ou sur dosse) et la coupe sur faux-quartier.</t>
  </si>
  <si>
    <t xml:space="preserve">Decorative and other non-structural plywood, whether or not surface coated or covered, and veneer core platforms for the production of decorative and other non-structural plywood. Decorative and other non-structural plywood is defined as a flat, multilayered plywood or other veneered panel, consisting of two or more layers or plies of wood veneers and a core, with the face and/or back veneer made of wood. The veneers, along with the core are glued or otherwise bonded together. Decorative and other non-structural plywood include products that meet the American National Standard for Hardwood and Decorative Plywood, ANSI/HPVA HP-1-2024 (including any revisions to that standard).
Excluding:
a. Structural plywood that (i) is manufactured to meet CSA O121 (Douglas fir plywood), CSA O151 (Canadian softwood plywood), CSA O153 (Poplar plywood), or U.S. Products Standard PS 1-09, PS 2-09, or PS 2-10 for Structural Plywood (including any revisions to that standard or any substantially equivalent domestic or international standard intended for structural plywood), (ii) which has both a face and a back veneer of coniferous wood, and (iii) which is for use in
structural applications;
b. Finished plywood products for use as flooring;
c. Plywood which has a shape or design other than a flat panel;
d. Phenolic Film Faced Plyform (PFF), also known as Phenolic Surface Film Plywood (PSF), defined as a panel with an “Exterior” or “Exposure 1” bond classification as is defined by The Engineered Wood Association, having an opaque phenolic film layer with a weight equal to or greater than 90g/m3 permanently bonded on both the face and back veneers and an opaque, moisture resistant coating applied to the edges; and
e. Laminated veneer lumber door and window components with (1) a maximum width of 44 millimeters, a thickness from 30 millimeters to 72 millimeters, and a length of less than 2413 millimeters, (2) water boiling point exterior adhesive, (3) a modulus of elasticity of 1,500,000 pounds per square inch or higher, (4) finger-jointed or lap-jointed core veneer with all layers oriented so that the grain is running parallel or with no more than 3 dispersed layers of veneer oriented with the grain running perpendicular to the other layers, and (5) top layer machined. </t>
  </si>
  <si>
    <t>volume - total domestic sales of domestic production 
(Question 1, 2024)</t>
  </si>
  <si>
    <t>volume - total des ventes au Canada de la production nationale 
(Question 1, 2024)</t>
  </si>
  <si>
    <t>valeur - total des ventes au Canada de la production nationale (Question 1, 2024)</t>
  </si>
  <si>
    <t>valeur - total domestic sales of domestic production (Question 1, 2024)</t>
  </si>
  <si>
    <t>343-543-7269</t>
  </si>
  <si>
    <t>1 - Distributors  |  Distributeurs</t>
  </si>
  <si>
    <t>2 - End user | Utilisateurs final</t>
  </si>
  <si>
    <t>3 - Retailer  | Détaillant</t>
  </si>
  <si>
    <t>Company:</t>
  </si>
  <si>
    <t>Respondent Type:</t>
  </si>
  <si>
    <t>Activity:</t>
  </si>
  <si>
    <t>Country:</t>
  </si>
  <si>
    <t>Subject/Non:</t>
  </si>
  <si>
    <t>Other Country:</t>
  </si>
  <si>
    <t>Trade Level:</t>
  </si>
  <si>
    <t>Sales To:</t>
  </si>
  <si>
    <t>I 2024</t>
  </si>
  <si>
    <t xml:space="preserve">Domestic Producer   |  Producteur national </t>
  </si>
  <si>
    <t>Sales to | Ventes à</t>
  </si>
  <si>
    <t>Export Sales |  Ventes à l'exportation</t>
  </si>
  <si>
    <t>Collapsed Respondent Name</t>
  </si>
  <si>
    <t>Tab in Q</t>
  </si>
  <si>
    <t>Countries - Q</t>
  </si>
  <si>
    <t>Exporter - Q</t>
  </si>
  <si>
    <t>Subject &amp; NS #</t>
  </si>
  <si>
    <t>Other
Countries</t>
  </si>
  <si>
    <t>Market Segment</t>
  </si>
  <si>
    <t>VOL  - 2023</t>
  </si>
  <si>
    <t>VOL  - 2024</t>
  </si>
  <si>
    <t>VOL  - Q
2025</t>
  </si>
  <si>
    <t>POID</t>
  </si>
  <si>
    <t>VAL  - 2023</t>
  </si>
  <si>
    <t>VAL  - 2024</t>
  </si>
  <si>
    <t>VAL  - Q
2025</t>
  </si>
  <si>
    <t>UV  - 2022</t>
  </si>
  <si>
    <t>UV  - 2023</t>
  </si>
  <si>
    <t>UV  - 2024</t>
  </si>
  <si>
    <t>UV  - Q
2024</t>
  </si>
  <si>
    <t>UV  - Q
2025</t>
  </si>
  <si>
    <t>DEL  - 2022</t>
  </si>
  <si>
    <t>DEL  - 2023</t>
  </si>
  <si>
    <t>DEL  - 2024</t>
  </si>
  <si>
    <t>DEL  - Q
2024</t>
  </si>
  <si>
    <t>DEL  - Q
2025</t>
  </si>
  <si>
    <t xml:space="preserve">- </t>
  </si>
  <si>
    <t>2 - End user / Mechanical contractor</t>
  </si>
  <si>
    <t>DOMESTIC SALES  |  VENTES NATIONALES</t>
  </si>
  <si>
    <t xml:space="preserve">EXPORT SALES  |  VENTES À L'EXPORTATION </t>
  </si>
  <si>
    <t>Jan. - Jun.  |  janv. - juin</t>
  </si>
  <si>
    <t>Coût des marchandises fabriquées¹</t>
  </si>
  <si>
    <t xml:space="preserve">Volume des marchandises fabriquées </t>
  </si>
  <si>
    <t>000 $</t>
  </si>
  <si>
    <t>Matériaux directs utilisés</t>
  </si>
  <si>
    <t>Coûts indirects de production</t>
  </si>
  <si>
    <t>Moins : Stock de clôture</t>
  </si>
  <si>
    <t>$/tonne</t>
  </si>
  <si>
    <t>État des résultats</t>
  </si>
  <si>
    <t>Volume de ventes nettes (tonnes)</t>
  </si>
  <si>
    <t>Valeur des ventes nettes</t>
  </si>
  <si>
    <t>Marge bénéficiaire brute (pertes)</t>
  </si>
  <si>
    <t>Frais généraux, de vente et d’administration</t>
  </si>
  <si>
    <t>Revenus nets (pertes) avant impôt</t>
  </si>
  <si>
    <t>Note(s):</t>
  </si>
  <si>
    <t>1. The data may not balance, as the beginning and ending inventories of goods in process are not shown.  |  
Les données pourraient ne pas s'équilibrer puisque les stocks d'ouverture et de clôture des marchandises en cours de fabrication ne figurent pas dans le tableau.</t>
  </si>
  <si>
    <t>Source: Reply to CITT questionnaire.  |  Réponse au questionnaire du TCCE.</t>
  </si>
  <si>
    <t>TOTAL FIRM  |  TOTAL ENTERPRISE</t>
  </si>
  <si>
    <t>Practical plant capacity (tonnes)</t>
  </si>
  <si>
    <t>Capacité pratique des usines (tonnes)</t>
  </si>
  <si>
    <t>For domestic sales</t>
  </si>
  <si>
    <t>Pour les ventes nationales</t>
  </si>
  <si>
    <t>For export sales</t>
  </si>
  <si>
    <t xml:space="preserve">Pour les ventes à l'exportation </t>
  </si>
  <si>
    <t>For further internal processing</t>
  </si>
  <si>
    <t xml:space="preserve">Pour la transformation ultérieure
</t>
  </si>
  <si>
    <t>Autres marchandises produites sur le même équipement</t>
  </si>
  <si>
    <t>Capacity utilization rate (%)</t>
  </si>
  <si>
    <t>Taux d'utilisation de la capacité (%)</t>
  </si>
  <si>
    <t>Domestic sales of domestic production</t>
  </si>
  <si>
    <t>Ventes nationales de la production nationale</t>
  </si>
  <si>
    <t>Total - Valeur (000 $)</t>
  </si>
  <si>
    <t>Total - Valeur unitaire ($/tonne)</t>
  </si>
  <si>
    <t xml:space="preserve">Ventes à l'exportation </t>
  </si>
  <si>
    <t>Total - Number of employees</t>
  </si>
  <si>
    <t>Total - Nombre d'employés</t>
  </si>
  <si>
    <t>Hours worked (000)</t>
  </si>
  <si>
    <t>Nombre d'heures travaillées (000)</t>
  </si>
  <si>
    <t>Salaires (000 $)</t>
  </si>
  <si>
    <t>Tonnes / employé (direct)</t>
  </si>
  <si>
    <t>Tonnes / heure travaillée (direct)</t>
  </si>
  <si>
    <t>Stocks</t>
  </si>
  <si>
    <t>Projected  |  Prévisions</t>
  </si>
  <si>
    <t>Investments ($000)</t>
  </si>
  <si>
    <t>Investissements (000 $)</t>
  </si>
  <si>
    <t>$/tonne manufactured | $/tonne fabriquée</t>
  </si>
  <si>
    <t>Material</t>
  </si>
  <si>
    <t>Matériaux</t>
  </si>
  <si>
    <t>TOTAL</t>
  </si>
  <si>
    <t>All other direct materials used</t>
  </si>
  <si>
    <t>Return on investment  | 
Rendement du capital investi</t>
  </si>
  <si>
    <t>Growth  | 
Croissance</t>
  </si>
  <si>
    <t>Ability to raise capital   | 
Capacité de réunir des capitaux</t>
  </si>
  <si>
    <t xml:space="preserve">Production Development Efforts  | 
Projets de développement de la production </t>
  </si>
  <si>
    <t>Hours worked | 
Le nombre d’heures de travail</t>
  </si>
  <si>
    <t>Employees’ wages | 
Les salaires de vos employés</t>
  </si>
  <si>
    <t>Pension plans | 
Le régime de pension</t>
  </si>
  <si>
    <t>Benefits | 
Les avantages sociaux</t>
  </si>
  <si>
    <t>Worker training and safety | 
La formation et la sécurité des travailleurs</t>
  </si>
  <si>
    <t>Other relevant factors | 
Autres facteurs pertinents ¹</t>
  </si>
  <si>
    <t>Source: Replies to CITT questionnaires.  |  Réponses aux questionnaires du TCCE.</t>
  </si>
  <si>
    <t>Collapsed Respondent</t>
  </si>
  <si>
    <t>Tab in Q.</t>
  </si>
  <si>
    <t>Product Name</t>
  </si>
  <si>
    <t>Product #</t>
  </si>
  <si>
    <t>Q1  |  T1 2025</t>
  </si>
  <si>
    <t>Q2  |  T2 2025</t>
  </si>
  <si>
    <t>Benchmark Product 1  |  Produit de référence 1</t>
  </si>
  <si>
    <t>Benchmark Product 2  |  Produit de référence 2</t>
  </si>
  <si>
    <t>Benchmark Product 3  |  Produit de référence 3</t>
  </si>
  <si>
    <t>Benchmark Product 4  |  Produit de référence 4</t>
  </si>
  <si>
    <t>Benchmark Product 5  |  Produit de référence 5</t>
  </si>
  <si>
    <t>Benchmark Product 6  |  Produit de référence 6</t>
  </si>
  <si>
    <t>Benchmark Product 7  |  Produit de référence 7</t>
  </si>
  <si>
    <t>Benchmark Product 8  |  Produit de référence 8</t>
  </si>
  <si>
    <t>% DISTRIBUTION</t>
  </si>
  <si>
    <t>I 2025</t>
  </si>
  <si>
    <t>Producer</t>
  </si>
  <si>
    <t>Q3  |  T2 2025</t>
  </si>
  <si>
    <t>I-2025</t>
  </si>
  <si>
    <t>I-2026</t>
  </si>
  <si>
    <t>Thickness of face veneer</t>
  </si>
  <si>
    <t>Thickness of back veneer</t>
  </si>
  <si>
    <t>Benchmark Product 9</t>
  </si>
  <si>
    <t>Range of thickness of face and back veneers:</t>
  </si>
  <si>
    <t>3/4" thickness (actual or nominal, commonly but not exclusively ranging from 18.0 mm to 19.5 mm), panel size ranging from 48"x96" to 49.5"x97.5", Birch or Maple face, face grade C or D or equivalent, veneer core, rotary spliced or whole piece, unfinished.</t>
  </si>
  <si>
    <t>3/4" thickness (actual or nominal, commonly but not exclusively ranging from 18.0 mm to 19.5 mm), panel size ranging from 48"x96" to 49.5"x97.5", Birch or Maple face, face grade C or D or equivalent, veneer core, rotary spliced or whole piece, UV coated on 2 sides.</t>
  </si>
  <si>
    <t>3/4" thickness (actual or nominal, commonly but not exclusively ranging from 18.0 mm to 19.5 mm), panel size ranging from 48"x96" to 49.5"x97.5", Birch or Maple face, face grade A or B or equivalent, veneer core, rotary spliced or whole piece, unfinished.</t>
  </si>
  <si>
    <t>3/4" thickness (actual or nominal, commonly but not exclusively ranging from 18.0 mm to 19.5 mm), panel size ranging from 48"x96" to 49.5"x97.5", Birch or Maple face, face grade A or B or equivalent, veneer core, rotary spliced or whole piece, UV coated on 2 sides.</t>
  </si>
  <si>
    <t>3/4" thickness (actual or nominal, commonly but not exclusively ranging from 18.0 mm to 19.5 mm), panel size ranging from 48"x96" to 49.5"x97.5", White Oak or Cherry or Red Oak or Walnut or Maple face, face grade A or B or equivalent, MDF or particleboard core, plain slice or quarter sawn/sliced or rift cut, unfinished.</t>
  </si>
  <si>
    <t>1/2" thickness (actual or nominal, commonly but not exclusively ranging from 12.0 mm to 12.7 mm), panel size ranging from 48"x96" to 49.5"x97.5", Birch or Maple face, face grade C or D or equivalent, veneer core, rotary spliced or whole piece, unfinished.</t>
  </si>
  <si>
    <t>1/2" thickness (actual or nominal, commonly but not exclusively ranging from 12.0 mm to 12.7 mm), panel size ranging from 48"x96" to 49.5"x97.5", Birch or Maple face, face grade A or B or equivalent, veneer core, rotary spliced or whole piece, unfinished.</t>
  </si>
  <si>
    <t>5/8" thickness (actual or nominal, commonly but not exclusively ranging from 15.0 mm to 15.9 mm), panel size ranging from 48"x96" to 49.5"x97.5", Birch or Maple face, face grade C or D or equivalent, veneer core, rotary spliced or whole piece, UV coated on 2 sides.</t>
  </si>
  <si>
    <t>Épaisseur du placage du dos</t>
  </si>
  <si>
    <t>Benchmark Product 9  |  Produit de référence 9</t>
  </si>
  <si>
    <t>3/4 in. thickness (actual or nominal, commonly but not exclusively ranging from 18.0 mm to 19.5 mm), panel size ranging from 48 in. x 96 in. to 49.5 in. x97.5 in., birch or maple face, face grade C or D or equivalent, veneer core, rotary spliced or whole piece, unfinished.</t>
  </si>
  <si>
    <t>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t>
  </si>
  <si>
    <t>3/4 in. thickness (actual or nominal, commonly but not exclusively ranging from 18.0 mm to 19.5 mm), panel size ranging from 48 in. x 96 in. to 49.5 in. x 97.5 in., birch or maple face, face grade C or D or equivalent, veneer core, rotary spliced or whole piece, UV coated on 2 sides.</t>
  </si>
  <si>
    <t>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t>
  </si>
  <si>
    <t>3/4 in. thickness (actual or nominal, commonly but not exclusively ranging from 18.0 mm to 19.5 mm), panel size ranging from 48 in. x 96 in. to 49.5 in. x 97.5 in., birch or maple face, face grade A or B or equivalent, veneer core, rotary spliced or whole piece, unfinished.</t>
  </si>
  <si>
    <t>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t>
  </si>
  <si>
    <t>3/4 in. thickness (actual or nominal, commonly but not exclusively ranging from 18.0 mm to 19.5 mm), panel size ranging from 48 in. x 96 in. to 49.5 in. x 97.5 in., birch or maple face, face grade A or B or equivalent, veneer core, rotary spliced or whole piece, UV coated on 2 sides.</t>
  </si>
  <si>
    <t>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t>
  </si>
  <si>
    <t>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t>
  </si>
  <si>
    <t>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t>
  </si>
  <si>
    <t>1/2 in. thickness (actual or nominal, commonly but not exclusively ranging from 12.0 mm to 12.7 mm), panel size ranging from 48 in. x 96 in. to 49.5 in. x 97.5 in., birch or maple face, face grade C or D or equivalent, veneer core, rotary spliced or whole piece, unfinished.</t>
  </si>
  <si>
    <t>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t>
  </si>
  <si>
    <t>1/2 in. thickness (actual or nominal, commonly but not exclusively ranging from 12.0 mm to 12.7 mm), panel size ranging from 48 in. x 96 in. to 49.5 in. x 97.5 in., birch or maple face, face grade A or B or equivalent, veneer core, rotary spliced or whole piece, unfinished.</t>
  </si>
  <si>
    <t>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t>
  </si>
  <si>
    <t>5/8 in. thickness (actual or nominal, commonly but not exclusively ranging from 15.0 mm to 15.9 mm), panel size ranging from 48 in. x 96 in. to 49.5 in. x 97.5 in., birch or maple face, face grade C or D or equivalent, veneer core, rotary spliced or whole piece, UV coated on 2 sides.</t>
  </si>
  <si>
    <t>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t>
  </si>
  <si>
    <t>1/4 in. thickness (actual or nominal, commonly but not exclusively ranging from 4.7 mm to 6.4 mm), panel size ranging from 48 in. x 96 in. to 49.5 in. x 97.5 in., birch or maple face, face grade C or D or equivalent, veneer core, rotary spliced or whole piece, unfinished.</t>
  </si>
  <si>
    <t>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t>
  </si>
  <si>
    <t>September 15, 2026</t>
  </si>
  <si>
    <t>15 septembre 2026</t>
  </si>
  <si>
    <r>
      <t xml:space="preserve">In the table below, “Error” means that the total sales to your firm’s top five accounts for that period exceed your firm’s total domestic sales for that period. Therefore, please modify the above data. The table below compares </t>
    </r>
    <r>
      <rPr>
        <u/>
        <sz val="10.5"/>
        <color theme="1"/>
        <rFont val="Calibri"/>
        <family val="2"/>
        <scheme val="minor"/>
      </rPr>
      <t>sum of quarterly sales</t>
    </r>
    <r>
      <rPr>
        <sz val="10.5"/>
        <color theme="1"/>
        <rFont val="Calibri"/>
        <family val="2"/>
        <scheme val="minor"/>
      </rPr>
      <t xml:space="preserve"> volume and value to major accounts to the annual domestic sales volume and value (Question 1). For Q2-Q4 2024, the table compares the sum of quarterly sales to the 2024 annual sales.</t>
    </r>
  </si>
  <si>
    <t>volume - total domestic sales of domestic production to the top five accounts (Question 14)</t>
  </si>
  <si>
    <t>volume - total des ventes au Canada de la production nationale aux cinq principaux clients (Question 14)</t>
  </si>
  <si>
    <t>value - total domestic sales of domestic production to the top five accounts (Question 14)</t>
  </si>
  <si>
    <t>valeur - total des ventes au Canada de la production nationale aux cinq principaux clients (Question 14)</t>
  </si>
  <si>
    <t>In the table below, “Error” means that the total sales to your firm's benchmark products exceed your firm's total domestic sales for that period. Therefore, please modify the above data.The table below compares sum of quarterly sales volume and value of benchmark products (Question 15) to the annual domestic sales volume and value (Question 1). For Q2-Q4 2024, the table compares the sum of quarterly sales to the 2024 annual sales.</t>
  </si>
  <si>
    <t>volume - total domestic sales of domestic production of benchmark products (Question 15)</t>
  </si>
  <si>
    <t>volume - total des ventes au Canada de la production nationale de produits de référence (Question 15)</t>
  </si>
  <si>
    <t>valeur - total domestic sales of domestic production of benchmark products (Question 15)</t>
  </si>
  <si>
    <t>valeur - total des ventes au Canada de la production nationale de produits de référence (Question 15)</t>
  </si>
  <si>
    <t>Dans le tableau ci-dessous, « Erreur » signifie que le total des ventes des cinq principaux clients de votre entreprise pour cette période dépasse le total des ventes nationales de votre entreprise pour cette période. Par conséquent, veuillez modifier les données ci-dessus. Le tableau ci-dessous compare le total du volume et de la valeur des ventes trimestrielles réalisées auprès des principaux clients au volume et à la valeur des ventes nationales annuelles (question 1). Pour T2-T4 2024, le tableau compare le total des ventes trimestrielles aux ventes totales annuelles de 2024.</t>
  </si>
  <si>
    <t>Épaisseur du placage de face</t>
  </si>
  <si>
    <t>Dans quelle mesure les marchandises produites au Canada sont-elles comparables en termes de facteurs autres que le prix (y compris la qualité du produit, les délais d'exécution et de livraison, la fiabilité de l'approvisionnement, l'épaisseur du placage de face,  l'épaisseur du placage du dos, etc.) avec les marchandises importées de la Chine?</t>
  </si>
  <si>
    <t>Plage d'épaisseur du placage de face et du dos :</t>
  </si>
  <si>
    <t>Dans le tableau ci-dessous, « Erreur » signifie que le total des ventes des produits de référence de votre entreprise dépasse le total des ventes nationales de votre entreprise pour cette période. Par conséquent, veuillez modifier les données ci-dessus.  Le tableau ci-dessous compare le total du volume et de la valeur des ventes trimestrielles réalisées auprès des produits de référence (question 15) au volume et à la valeur des ventes nationales annuelles (question 1). Pour T2-T4 2024, le tableau compare le total des ventes trimestrielles aux ventes totales annuelles de 2024.</t>
  </si>
  <si>
    <t>volume - total domestic sales of domestic production 
(Question 1)</t>
  </si>
  <si>
    <t>volume - total des ventes au Canada de la production nationale 
(Question 1)</t>
  </si>
  <si>
    <t>value - total domestic sales of domestic production (Question 1)</t>
  </si>
  <si>
    <t>valeur - total des ventes au Canada de la production nationale (Question 1)</t>
  </si>
  <si>
    <t>VOL  - 2025</t>
  </si>
  <si>
    <t>VOL  - Q
2026</t>
  </si>
  <si>
    <t>VAL  - 2025</t>
  </si>
  <si>
    <t>VAL  - Q
2026</t>
  </si>
  <si>
    <t>NQ-2026-004</t>
  </si>
  <si>
    <t>Respondant</t>
  </si>
  <si>
    <t>Sheet/Comment</t>
  </si>
  <si>
    <t>Question</t>
  </si>
  <si>
    <t>Answer</t>
  </si>
  <si>
    <t>Grades</t>
  </si>
  <si>
    <t>Q 1.1</t>
  </si>
  <si>
    <t>Q 1.2</t>
  </si>
  <si>
    <t>Q 1.3</t>
  </si>
  <si>
    <t>Q 1.4</t>
  </si>
  <si>
    <t>Q 1.5</t>
  </si>
  <si>
    <t>Q 1.6</t>
  </si>
  <si>
    <t>Q 1.7</t>
  </si>
  <si>
    <t>Q 1.8</t>
  </si>
  <si>
    <t>Q 1.9</t>
  </si>
  <si>
    <t>Country of Origin</t>
  </si>
  <si>
    <t>Q 1.10</t>
  </si>
  <si>
    <t>Q 2.1</t>
  </si>
  <si>
    <t>Q 2.2</t>
  </si>
  <si>
    <t>Q 2.3</t>
  </si>
  <si>
    <t>Q 2.4</t>
  </si>
  <si>
    <t>Q 2.5</t>
  </si>
  <si>
    <t>Q 2.6</t>
  </si>
  <si>
    <t>Q 2.7</t>
  </si>
  <si>
    <t>Q 2.8</t>
  </si>
  <si>
    <t>Q 2.9</t>
  </si>
  <si>
    <t>Q 2.10</t>
  </si>
  <si>
    <t>Q 3.1</t>
  </si>
  <si>
    <t>Q 3.2</t>
  </si>
  <si>
    <t>Q 3.3</t>
  </si>
  <si>
    <t>Q 3.4</t>
  </si>
  <si>
    <t>Q 3.5</t>
  </si>
  <si>
    <t>Q 3.6</t>
  </si>
  <si>
    <t>Q 3.7</t>
  </si>
  <si>
    <t>Q 3.8</t>
  </si>
  <si>
    <t>Q 3.9</t>
  </si>
  <si>
    <t>Q 3.10</t>
  </si>
  <si>
    <t>Q 4.1</t>
  </si>
  <si>
    <t>Q 4.2</t>
  </si>
  <si>
    <t>Q 4.3</t>
  </si>
  <si>
    <t>Q 4.4</t>
  </si>
  <si>
    <t>Q 4.5</t>
  </si>
  <si>
    <t>Q 4.6</t>
  </si>
  <si>
    <t>Q 4.7</t>
  </si>
  <si>
    <t>Q 4.8</t>
  </si>
  <si>
    <t>Q 4.9</t>
  </si>
  <si>
    <t>Q 4.10</t>
  </si>
  <si>
    <t>Q 5.1</t>
  </si>
  <si>
    <t>Q 5.2</t>
  </si>
  <si>
    <t>Q 5.3</t>
  </si>
  <si>
    <t>Q 5.4</t>
  </si>
  <si>
    <t>Q 5.5</t>
  </si>
  <si>
    <t>Q 5.6</t>
  </si>
  <si>
    <t>Q 5.7</t>
  </si>
  <si>
    <t>Q 5.8</t>
  </si>
  <si>
    <t>Q 5.9</t>
  </si>
  <si>
    <t>Q 5.10</t>
  </si>
  <si>
    <t>Q 6.1</t>
  </si>
  <si>
    <t>Q 6.2</t>
  </si>
  <si>
    <t>Q 6.3</t>
  </si>
  <si>
    <t>Q 6.4</t>
  </si>
  <si>
    <t>Q 6.5</t>
  </si>
  <si>
    <t>Q 6.6</t>
  </si>
  <si>
    <t>Q 6.7</t>
  </si>
  <si>
    <t>Q 6.8</t>
  </si>
  <si>
    <t>Q 6.9</t>
  </si>
  <si>
    <t>Q 6.10</t>
  </si>
  <si>
    <t>Q 7.1</t>
  </si>
  <si>
    <t>Q 7.2</t>
  </si>
  <si>
    <t>Q 7.3</t>
  </si>
  <si>
    <t>Q 7.4</t>
  </si>
  <si>
    <t>Q 7.5</t>
  </si>
  <si>
    <t>Q 7.6</t>
  </si>
  <si>
    <t>Q 7.7</t>
  </si>
  <si>
    <t>Q 7.8</t>
  </si>
  <si>
    <t>Q 7.9</t>
  </si>
  <si>
    <t>Q 7.10</t>
  </si>
  <si>
    <t>Q 8.1</t>
  </si>
  <si>
    <t>Q 8.2</t>
  </si>
  <si>
    <t>Q 8.3</t>
  </si>
  <si>
    <t>Q 8.4</t>
  </si>
  <si>
    <t>Q 8.5</t>
  </si>
  <si>
    <t>Q 8.6</t>
  </si>
  <si>
    <t>Q 8.7</t>
  </si>
  <si>
    <t>Q 8.8</t>
  </si>
  <si>
    <t>Q 8.9</t>
  </si>
  <si>
    <t>Q 8.10</t>
  </si>
  <si>
    <t>Q 9.1</t>
  </si>
  <si>
    <t>Q 9.2</t>
  </si>
  <si>
    <t>Q 9.3</t>
  </si>
  <si>
    <t>Q 9.4</t>
  </si>
  <si>
    <t>Q 9.5</t>
  </si>
  <si>
    <t>Q 9.6</t>
  </si>
  <si>
    <t>Q 9.7</t>
  </si>
  <si>
    <t>Q 9.8</t>
  </si>
  <si>
    <t>Q 9.9</t>
  </si>
  <si>
    <t>Q 9.10</t>
  </si>
  <si>
    <t>Q 10.1</t>
  </si>
  <si>
    <t>Q 10.2</t>
  </si>
  <si>
    <t>Q 10.3</t>
  </si>
  <si>
    <t>Q 10.4</t>
  </si>
  <si>
    <t>Q 10.5</t>
  </si>
  <si>
    <t>Q 10.6</t>
  </si>
  <si>
    <t>Q 10.7</t>
  </si>
  <si>
    <t>Q 10.8</t>
  </si>
  <si>
    <t>Q 10.9</t>
  </si>
  <si>
    <t>Q 10.10</t>
  </si>
  <si>
    <t>Q 11.1</t>
  </si>
  <si>
    <t>Q 11.2</t>
  </si>
  <si>
    <t>Q 11.3</t>
  </si>
  <si>
    <t>Q 11.4</t>
  </si>
  <si>
    <t>Q 11.5</t>
  </si>
  <si>
    <t>Q 11.6</t>
  </si>
  <si>
    <t>Q 11.7</t>
  </si>
  <si>
    <t>Q 11.8</t>
  </si>
  <si>
    <t>Q 11.9</t>
  </si>
  <si>
    <t>Q 11.10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</si>
</sst>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3" formatCode="_-* #,##0.00_-;\-* #,##0.00_-;_-* &quot;-&quot;??_-;_-@_-"/>
    <numFmt numFmtId="164" formatCode="_(* #,##0_);_(* \(#,##0\);_(* &quot;-&quot;??_);_(@_)"/>
    <numFmt numFmtId="165" formatCode="_-* #,##0_-;\-* #,##0_-;_-* &quot;-&quot;??_-;_-@_-"/>
    <numFmt numFmtId="166" formatCode="#,##0;\(#,##0\);\-"/>
    <numFmt numFmtId="167" formatCode="[$-F800]dddd\,\ mmmm\ dd\,\ yyyy"/>
    <numFmt numFmtId="168" formatCode="_(#,##0_);_(\(#,##0\);_(* &quot;-&quot;_);_(_ \ \ \ \ \ \ \ @"/>
  </numFmts>
  <fonts count="63"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sz val="10.5"/>
      <name val="Calibri"/>
      <family val="2"/>
      <scheme val="minor"/>
    </font>
    <font>
      <b/>
      <sz val="10.5"/>
      <color theme="1"/>
      <name val="Calibri"/>
      <family val="2"/>
      <scheme val="minor"/>
    </font>
    <font>
      <b/>
      <sz val="10.5"/>
      <color rgb="FF000000"/>
      <name val="Calibri"/>
      <family val="2"/>
      <scheme val="minor"/>
    </font>
    <font>
      <sz val="10.5"/>
      <color rgb="FF000000"/>
      <name val="Calibri"/>
      <family val="2"/>
      <scheme val="minor"/>
    </font>
    <font>
      <sz val="10.5"/>
      <color theme="0"/>
      <name val="Calibri"/>
      <family val="2"/>
      <scheme val="minor"/>
    </font>
    <font>
      <b/>
      <sz val="10.5"/>
      <name val="Calibri"/>
      <family val="2"/>
      <scheme val="minor"/>
    </font>
    <font>
      <sz val="10"/>
      <color theme="1"/>
      <name val="Calibri"/>
      <family val="2"/>
      <scheme val="minor"/>
    </font>
    <font>
      <sz val="10"/>
      <name val="Times New Roman"/>
      <family val="1"/>
    </font>
    <font>
      <sz val="10"/>
      <color theme="0"/>
      <name val="Calibri"/>
      <family val="2"/>
      <scheme val="minor"/>
    </font>
    <font>
      <sz val="10"/>
      <name val="Arial"/>
      <family val="2"/>
    </font>
    <font>
      <sz val="8"/>
      <name val="Calibri"/>
      <family val="2"/>
      <scheme val="minor"/>
    </font>
    <font>
      <u/>
      <sz val="10.5"/>
      <color rgb="FF0070C0"/>
      <name val="Calibri"/>
      <family val="2"/>
      <scheme val="minor"/>
    </font>
    <font>
      <sz val="10"/>
      <name val="Calibri"/>
      <family val="2"/>
      <scheme val="minor"/>
    </font>
    <font>
      <b/>
      <sz val="10"/>
      <color theme="1"/>
      <name val="Calibri"/>
      <family val="2"/>
      <scheme val="minor"/>
    </font>
    <font>
      <b/>
      <u/>
      <sz val="10"/>
      <name val="Calibri"/>
      <family val="2"/>
      <scheme val="minor"/>
    </font>
    <font>
      <b/>
      <sz val="10"/>
      <color indexed="8"/>
      <name val="Calibri"/>
      <family val="2"/>
      <scheme val="minor"/>
    </font>
    <font>
      <b/>
      <sz val="10"/>
      <name val="Calibri"/>
      <family val="2"/>
      <scheme val="minor"/>
    </font>
    <font>
      <sz val="8"/>
      <name val="Arial"/>
      <family val="2"/>
    </font>
    <font>
      <b/>
      <sz val="10"/>
      <color theme="0"/>
      <name val="Calibri"/>
      <family val="2"/>
      <scheme val="minor"/>
    </font>
    <font>
      <b/>
      <u/>
      <sz val="10"/>
      <color theme="0"/>
      <name val="Calibri"/>
      <family val="2"/>
      <scheme val="minor"/>
    </font>
    <font>
      <sz val="10"/>
      <color theme="4" tint="-0.249977111117893"/>
      <name val="Calibri"/>
      <family val="2"/>
      <scheme val="minor"/>
    </font>
    <font>
      <sz val="10"/>
      <color indexed="8"/>
      <name val="Calibri"/>
      <family val="2"/>
      <scheme val="minor"/>
    </font>
    <font>
      <b/>
      <sz val="10"/>
      <color rgb="FFFF0000"/>
      <name val="Calibri"/>
      <family val="2"/>
      <scheme val="minor"/>
    </font>
    <font>
      <b/>
      <sz val="12"/>
      <name val="Calibri"/>
      <family val="2"/>
      <scheme val="minor"/>
    </font>
    <font>
      <sz val="16"/>
      <color rgb="FF000000"/>
      <name val="Calibri"/>
      <family val="2"/>
      <scheme val="minor"/>
    </font>
    <font>
      <b/>
      <u/>
      <sz val="10.5"/>
      <color theme="1"/>
      <name val="Calibri"/>
      <family val="2"/>
      <scheme val="minor"/>
    </font>
    <font>
      <sz val="10.5"/>
      <color rgb="FF000000"/>
      <name val="Calibri"/>
      <family val="2"/>
    </font>
    <font>
      <u/>
      <sz val="10.5"/>
      <color theme="1"/>
      <name val="Calibri"/>
      <family val="2"/>
      <scheme val="minor"/>
    </font>
    <font>
      <b/>
      <sz val="10.5"/>
      <name val="Calibri"/>
      <family val="2"/>
    </font>
    <font>
      <sz val="10.5"/>
      <color rgb="FFFF0000"/>
      <name val="Calibri"/>
      <family val="2"/>
      <scheme val="minor"/>
    </font>
    <font>
      <b/>
      <sz val="10.5"/>
      <color theme="0"/>
      <name val="Calibri"/>
      <family val="2"/>
    </font>
    <font>
      <b/>
      <sz val="9"/>
      <color indexed="81"/>
      <name val="Tahoma"/>
      <family val="2"/>
    </font>
    <font>
      <sz val="10.5"/>
      <color rgb="FF0070C0"/>
      <name val="Calibri"/>
      <family val="2"/>
      <scheme val="minor"/>
    </font>
    <font>
      <sz val="9"/>
      <color theme="1"/>
      <name val="Calibri"/>
      <family val="2"/>
      <scheme val="minor"/>
    </font>
    <font>
      <sz val="9"/>
      <color indexed="81"/>
      <name val="Tahoma"/>
      <family val="2"/>
    </font>
    <font>
      <sz val="12"/>
      <color theme="1"/>
      <name val="Arial"/>
      <family val="2"/>
    </font>
    <font>
      <sz val="10"/>
      <color rgb="FF000000"/>
      <name val="Calibri"/>
      <family val="2"/>
      <scheme val="minor"/>
    </font>
    <font>
      <b/>
      <sz val="10.5"/>
      <color rgb="FF7030A0"/>
      <name val="Calibri"/>
      <family val="2"/>
    </font>
    <font>
      <sz val="11"/>
      <color theme="0"/>
      <name val="Calibri"/>
      <family val="2"/>
      <scheme val="minor"/>
    </font>
    <font>
      <u/>
      <sz val="10"/>
      <color theme="0"/>
      <name val="Calibri Light"/>
      <family val="2"/>
      <scheme val="major"/>
    </font>
    <font>
      <b/>
      <sz val="10"/>
      <color rgb="FF000000"/>
      <name val="Calibri"/>
      <family val="2"/>
    </font>
    <font>
      <b/>
      <sz val="9"/>
      <color theme="0"/>
      <name val="Calibri Light"/>
      <family val="2"/>
      <scheme val="major"/>
    </font>
    <font>
      <b/>
      <sz val="9"/>
      <color theme="0"/>
      <name val="Calibri"/>
      <family val="2"/>
      <scheme val="minor"/>
    </font>
    <font>
      <b/>
      <sz val="10"/>
      <color theme="0"/>
      <name val="Calibri Light"/>
      <family val="2"/>
      <scheme val="major"/>
    </font>
    <font>
      <b/>
      <u/>
      <sz val="9"/>
      <color theme="0"/>
      <name val="Calibri Light"/>
      <family val="2"/>
      <scheme val="major"/>
    </font>
    <font>
      <b/>
      <sz val="9"/>
      <name val="Calibri"/>
      <family val="2"/>
      <scheme val="minor"/>
    </font>
    <font>
      <sz val="9"/>
      <name val="Calibri"/>
      <family val="2"/>
      <scheme val="minor"/>
    </font>
    <font>
      <b/>
      <u/>
      <sz val="10"/>
      <color rgb="FFFF0000"/>
      <name val="Calibri"/>
      <family val="2"/>
      <scheme val="minor"/>
    </font>
    <font>
      <sz val="1"/>
      <name val="Calibri"/>
      <family val="2"/>
      <scheme val="minor"/>
    </font>
    <font>
      <b/>
      <u/>
      <sz val="10"/>
      <color theme="1"/>
      <name val="Calibri"/>
      <family val="2"/>
      <scheme val="minor"/>
    </font>
    <font>
      <sz val="4"/>
      <name val="Calibri"/>
      <family val="2"/>
      <scheme val="minor"/>
    </font>
    <font>
      <b/>
      <u/>
      <sz val="4"/>
      <name val="Calibri"/>
      <family val="2"/>
      <scheme val="minor"/>
    </font>
    <font>
      <b/>
      <u/>
      <sz val="10"/>
      <color theme="0"/>
      <name val="Calibri Light"/>
      <family val="2"/>
      <scheme val="major"/>
    </font>
    <font>
      <sz val="10.5"/>
      <color theme="1"/>
      <name val="Aptos"/>
      <family val="2"/>
    </font>
    <font>
      <u/>
      <sz val="10"/>
      <name val="Calibri"/>
      <family val="2"/>
      <scheme val="minor"/>
    </font>
  </fonts>
  <fills count="3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39997558519241921"/>
        <bgColor theme="4" tint="0.79998168889431442"/>
      </patternFill>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6" tint="0.79998168889431442"/>
        <bgColor indexed="64"/>
      </patternFill>
    </fill>
    <fill>
      <patternFill patternType="solid">
        <fgColor rgb="FFFFFFFF"/>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0" tint="-0.14996795556505021"/>
        <bgColor indexed="64"/>
      </patternFill>
    </fill>
    <fill>
      <patternFill patternType="solid">
        <fgColor rgb="FF92D050"/>
        <bgColor indexed="64"/>
      </patternFill>
    </fill>
    <fill>
      <patternFill patternType="solid">
        <fgColor rgb="FFFFC000"/>
        <bgColor indexed="64"/>
      </patternFill>
    </fill>
    <fill>
      <patternFill patternType="solid">
        <fgColor theme="8" tint="0.39997558519241921"/>
        <bgColor indexed="64"/>
      </patternFill>
    </fill>
    <fill>
      <patternFill patternType="darkUp">
        <bgColor theme="6" tint="0.79998168889431442"/>
      </patternFill>
    </fill>
    <fill>
      <patternFill patternType="darkUp"/>
    </fill>
    <fill>
      <patternFill patternType="solid">
        <fgColor theme="4" tint="0.39997558519241921"/>
        <bgColor indexed="64"/>
      </patternFill>
    </fill>
    <fill>
      <patternFill patternType="lightUp">
        <bgColor theme="4" tint="0.39997558519241921"/>
      </patternFill>
    </fill>
    <fill>
      <patternFill patternType="lightUp"/>
    </fill>
    <fill>
      <patternFill patternType="solid">
        <fgColor indexed="65"/>
        <bgColor indexed="64"/>
      </patternFill>
    </fill>
    <fill>
      <patternFill patternType="lightUp">
        <bgColor theme="4" tint="0.79998168889431442"/>
      </patternFill>
    </fill>
    <fill>
      <patternFill patternType="solid">
        <fgColor theme="3" tint="0.79998168889431442"/>
        <bgColor indexed="64"/>
      </patternFill>
    </fill>
    <fill>
      <patternFill patternType="solid">
        <fgColor theme="3" tint="0.59999389629810485"/>
        <bgColor indexed="64"/>
      </patternFill>
    </fill>
    <fill>
      <patternFill patternType="darkUp">
        <bgColor theme="3" tint="0.59999389629810485"/>
      </patternFill>
    </fill>
    <fill>
      <patternFill patternType="darkUp">
        <bgColor theme="3" tint="0.79998168889431442"/>
      </patternFill>
    </fill>
  </fills>
  <borders count="95">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
      <left style="thin">
        <color auto="1"/>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auto="1"/>
      </right>
      <top/>
      <bottom/>
      <diagonal/>
    </border>
    <border>
      <left/>
      <right/>
      <top/>
      <bottom style="medium">
        <color indexed="64"/>
      </bottom>
      <diagonal/>
    </border>
    <border>
      <left/>
      <right/>
      <top style="thin">
        <color theme="4"/>
      </top>
      <bottom style="thin">
        <color theme="4"/>
      </bottom>
      <diagonal/>
    </border>
    <border>
      <left style="medium">
        <color indexed="64"/>
      </left>
      <right/>
      <top style="thin">
        <color theme="4"/>
      </top>
      <bottom/>
      <diagonal/>
    </border>
    <border>
      <left/>
      <right/>
      <top style="thin">
        <color theme="1"/>
      </top>
      <bottom style="thin">
        <color theme="4" tint="0.39997558519241921"/>
      </bottom>
      <diagonal/>
    </border>
    <border>
      <left/>
      <right/>
      <top style="thin">
        <color theme="4" tint="0.39997558519241921"/>
      </top>
      <bottom style="thin">
        <color theme="4" tint="0.39997558519241921"/>
      </bottom>
      <diagonal/>
    </border>
    <border>
      <left/>
      <right style="medium">
        <color indexed="64"/>
      </right>
      <top style="thin">
        <color theme="4" tint="0.39997558519241921"/>
      </top>
      <bottom style="thin">
        <color theme="4" tint="0.39997558519241921"/>
      </bottom>
      <diagonal/>
    </border>
    <border>
      <left/>
      <right style="thin">
        <color indexed="64"/>
      </right>
      <top/>
      <bottom style="medium">
        <color indexed="64"/>
      </bottom>
      <diagonal/>
    </border>
    <border>
      <left style="thin">
        <color indexed="64"/>
      </left>
      <right/>
      <top style="thin">
        <color theme="4"/>
      </top>
      <bottom style="thin">
        <color theme="4"/>
      </bottom>
      <diagonal/>
    </border>
    <border>
      <left style="medium">
        <color auto="1"/>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auto="1"/>
      </right>
      <top/>
      <bottom style="thin">
        <color indexed="64"/>
      </bottom>
      <diagonal/>
    </border>
    <border>
      <left/>
      <right/>
      <top style="thin">
        <color indexed="64"/>
      </top>
      <bottom style="thin">
        <color theme="4" tint="0.39997558519241921"/>
      </bottom>
      <diagonal/>
    </border>
    <border>
      <left/>
      <right style="thin">
        <color indexed="64"/>
      </right>
      <top style="thin">
        <color indexed="64"/>
      </top>
      <bottom style="thin">
        <color theme="4" tint="0.39997558519241921"/>
      </bottom>
      <diagonal/>
    </border>
    <border>
      <left style="thin">
        <color indexed="64"/>
      </left>
      <right/>
      <top style="thin">
        <color theme="1"/>
      </top>
      <bottom style="thin">
        <color theme="4" tint="0.39997558519241921"/>
      </bottom>
      <diagonal/>
    </border>
    <border>
      <left/>
      <right style="thin">
        <color indexed="64"/>
      </right>
      <top style="thin">
        <color theme="4" tint="0.39997558519241921"/>
      </top>
      <bottom style="thin">
        <color theme="4" tint="0.39997558519241921"/>
      </bottom>
      <diagonal/>
    </border>
    <border>
      <left style="thin">
        <color indexed="64"/>
      </left>
      <right/>
      <top style="thin">
        <color theme="4" tint="0.39997558519241921"/>
      </top>
      <bottom style="thin">
        <color theme="4" tint="0.39997558519241921"/>
      </bottom>
      <diagonal/>
    </border>
    <border>
      <left style="thin">
        <color indexed="64"/>
      </left>
      <right/>
      <top style="thin">
        <color theme="4" tint="0.39997558519241921"/>
      </top>
      <bottom style="thin">
        <color indexed="64"/>
      </bottom>
      <diagonal/>
    </border>
    <border>
      <left/>
      <right/>
      <top style="thin">
        <color theme="4" tint="0.39997558519241921"/>
      </top>
      <bottom style="thin">
        <color indexed="64"/>
      </bottom>
      <diagonal/>
    </border>
    <border>
      <left/>
      <right style="medium">
        <color indexed="64"/>
      </right>
      <top style="thin">
        <color theme="4" tint="0.39997558519241921"/>
      </top>
      <bottom style="thin">
        <color indexed="64"/>
      </bottom>
      <diagonal/>
    </border>
    <border>
      <left/>
      <right style="thin">
        <color indexed="64"/>
      </right>
      <top style="thin">
        <color theme="4" tint="0.39997558519241921"/>
      </top>
      <bottom style="thin">
        <color indexed="64"/>
      </bottom>
      <diagonal/>
    </border>
    <border>
      <left style="thin">
        <color auto="1"/>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auto="1"/>
      </right>
      <top style="thin">
        <color theme="0" tint="-0.499984740745262"/>
      </top>
      <bottom/>
      <diagonal/>
    </border>
    <border>
      <left/>
      <right style="thin">
        <color theme="0" tint="-0.499984740745262"/>
      </right>
      <top/>
      <bottom/>
      <diagonal/>
    </border>
    <border>
      <left style="thin">
        <color theme="0" tint="-0.499984740745262"/>
      </left>
      <right/>
      <top/>
      <bottom/>
      <diagonal/>
    </border>
    <border>
      <left style="thin">
        <color indexed="64"/>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indexed="64"/>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indexed="64"/>
      </left>
      <right style="thin">
        <color auto="1"/>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auto="1"/>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style="thin">
        <color theme="0" tint="-0.499984740745262"/>
      </left>
      <right style="thin">
        <color theme="0" tint="-0.499984740745262"/>
      </right>
      <top/>
      <bottom style="thin">
        <color auto="1"/>
      </bottom>
      <diagonal/>
    </border>
    <border>
      <left style="thin">
        <color indexed="64"/>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style="thin">
        <color theme="0" tint="-0.499984740745262"/>
      </right>
      <top/>
      <bottom style="thin">
        <color auto="1"/>
      </bottom>
      <diagonal/>
    </border>
    <border>
      <left style="thin">
        <color theme="0" tint="-0.499984740745262"/>
      </left>
      <right style="thin">
        <color indexed="64"/>
      </right>
      <top/>
      <bottom style="thin">
        <color auto="1"/>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auto="1"/>
      </right>
      <top style="thin">
        <color theme="0" tint="-0.499984740745262"/>
      </top>
      <bottom style="thin">
        <color indexed="64"/>
      </bottom>
      <diagonal/>
    </border>
    <border>
      <left style="thin">
        <color theme="0" tint="-0.499984740745262"/>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thin">
        <color theme="0" tint="-0.499984740745262"/>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Dashed">
        <color indexed="64"/>
      </left>
      <right style="medium">
        <color indexed="64"/>
      </right>
      <top style="medium">
        <color indexed="64"/>
      </top>
      <bottom/>
      <diagonal/>
    </border>
    <border>
      <left/>
      <right style="dashDot">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theme="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theme="1"/>
      </top>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15" fillId="0" borderId="0"/>
    <xf numFmtId="43" fontId="15"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25" fillId="0" borderId="0"/>
    <xf numFmtId="0" fontId="15" fillId="0" borderId="0"/>
    <xf numFmtId="0" fontId="17" fillId="0" borderId="0"/>
  </cellStyleXfs>
  <cellXfs count="1035">
    <xf numFmtId="0" fontId="0" fillId="0" borderId="0" xfId="0"/>
    <xf numFmtId="0" fontId="7" fillId="2" borderId="0" xfId="0" applyFont="1" applyFill="1" applyAlignment="1">
      <alignment vertical="top"/>
    </xf>
    <xf numFmtId="0" fontId="7" fillId="0" borderId="0" xfId="0" applyFont="1" applyAlignment="1">
      <alignment vertical="top"/>
    </xf>
    <xf numFmtId="0" fontId="9" fillId="0" borderId="0" xfId="0" applyFont="1" applyAlignment="1">
      <alignment vertical="top"/>
    </xf>
    <xf numFmtId="0" fontId="13" fillId="0" borderId="0" xfId="0" applyFont="1" applyAlignment="1">
      <alignment horizontal="left" vertical="top"/>
    </xf>
    <xf numFmtId="0" fontId="2" fillId="0" borderId="0" xfId="0" applyFont="1" applyAlignment="1">
      <alignment vertical="top"/>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vertical="top"/>
    </xf>
    <xf numFmtId="0" fontId="4" fillId="0" borderId="0" xfId="0" applyFont="1" applyAlignment="1">
      <alignment vertical="top"/>
    </xf>
    <xf numFmtId="0" fontId="5" fillId="0" borderId="0" xfId="0" applyFont="1" applyAlignment="1">
      <alignment vertical="top"/>
    </xf>
    <xf numFmtId="0" fontId="8" fillId="0" borderId="0" xfId="0" applyFont="1" applyAlignment="1">
      <alignment horizontal="left" vertical="top"/>
    </xf>
    <xf numFmtId="0" fontId="12" fillId="0" borderId="0" xfId="0" applyFont="1" applyAlignment="1">
      <alignment vertical="top" wrapText="1"/>
    </xf>
    <xf numFmtId="0" fontId="2" fillId="0" borderId="0" xfId="0" applyFont="1" applyAlignment="1">
      <alignment vertical="top" wrapText="1"/>
    </xf>
    <xf numFmtId="0" fontId="4" fillId="2" borderId="0" xfId="0" applyFont="1" applyFill="1" applyAlignment="1">
      <alignment vertical="top"/>
    </xf>
    <xf numFmtId="0" fontId="3" fillId="2" borderId="0" xfId="0" applyFont="1" applyFill="1" applyAlignment="1">
      <alignment vertical="top"/>
    </xf>
    <xf numFmtId="0" fontId="8" fillId="0" borderId="0" xfId="0" applyFont="1" applyAlignment="1">
      <alignment vertical="top"/>
    </xf>
    <xf numFmtId="0" fontId="8" fillId="2" borderId="0" xfId="0" applyFont="1" applyFill="1" applyAlignment="1">
      <alignment vertical="top"/>
    </xf>
    <xf numFmtId="0" fontId="6" fillId="0" borderId="0" xfId="0" applyFont="1" applyAlignment="1">
      <alignment vertical="top" wrapText="1"/>
    </xf>
    <xf numFmtId="0" fontId="7" fillId="2" borderId="0" xfId="0" applyFont="1" applyFill="1" applyAlignment="1">
      <alignment vertical="top" wrapText="1"/>
    </xf>
    <xf numFmtId="0" fontId="13" fillId="0" borderId="0" xfId="0" applyFont="1" applyAlignment="1">
      <alignment horizontal="left" vertical="top" wrapText="1"/>
    </xf>
    <xf numFmtId="0" fontId="9" fillId="2" borderId="0" xfId="0" applyFont="1" applyFill="1" applyAlignment="1">
      <alignment vertical="top" wrapText="1"/>
    </xf>
    <xf numFmtId="0" fontId="6" fillId="0" borderId="0" xfId="0" applyFont="1" applyAlignment="1">
      <alignment horizontal="left" vertical="top" wrapText="1"/>
    </xf>
    <xf numFmtId="0" fontId="4" fillId="0" borderId="0" xfId="0" applyFont="1" applyAlignment="1">
      <alignment vertical="top" wrapText="1"/>
    </xf>
    <xf numFmtId="0" fontId="13" fillId="0" borderId="4" xfId="0" applyFont="1" applyBorder="1" applyAlignment="1">
      <alignment horizontal="centerContinuous" vertical="top" wrapText="1"/>
    </xf>
    <xf numFmtId="0" fontId="13" fillId="0" borderId="0" xfId="0" applyFont="1" applyAlignment="1">
      <alignment horizontal="centerContinuous" vertical="top" wrapText="1"/>
    </xf>
    <xf numFmtId="0" fontId="7" fillId="0" borderId="0" xfId="0" applyFont="1" applyAlignment="1">
      <alignment horizontal="centerContinuous" vertical="top" wrapText="1"/>
    </xf>
    <xf numFmtId="0" fontId="7" fillId="0" borderId="3" xfId="0" applyFont="1" applyBorder="1" applyAlignment="1">
      <alignment horizontal="centerContinuous" vertical="top" wrapText="1"/>
    </xf>
    <xf numFmtId="0" fontId="4" fillId="3" borderId="0" xfId="0" applyFont="1" applyFill="1" applyAlignment="1">
      <alignment vertical="top" wrapText="1"/>
    </xf>
    <xf numFmtId="1" fontId="11" fillId="0" borderId="0" xfId="1" applyNumberFormat="1" applyFont="1" applyFill="1" applyBorder="1" applyAlignment="1" applyProtection="1">
      <alignment horizontal="right" vertical="top" wrapText="1"/>
    </xf>
    <xf numFmtId="1" fontId="11" fillId="0" borderId="3" xfId="1" applyNumberFormat="1" applyFont="1" applyFill="1" applyBorder="1" applyAlignment="1" applyProtection="1">
      <alignment horizontal="right" vertical="top" wrapText="1"/>
    </xf>
    <xf numFmtId="0" fontId="8" fillId="2" borderId="0" xfId="0" applyFont="1" applyFill="1" applyAlignment="1">
      <alignment vertical="top" wrapText="1"/>
    </xf>
    <xf numFmtId="0" fontId="7" fillId="0" borderId="10" xfId="0" applyFont="1" applyBorder="1" applyAlignment="1">
      <alignment horizontal="centerContinuous" vertical="top" wrapText="1"/>
    </xf>
    <xf numFmtId="0" fontId="7" fillId="0" borderId="8" xfId="0" applyFont="1" applyBorder="1" applyAlignment="1">
      <alignment horizontal="centerContinuous" vertical="top" wrapText="1"/>
    </xf>
    <xf numFmtId="0" fontId="13" fillId="0" borderId="9" xfId="0" applyFont="1" applyBorder="1" applyAlignment="1">
      <alignment horizontal="centerContinuous" vertical="top" wrapText="1"/>
    </xf>
    <xf numFmtId="0" fontId="7" fillId="0" borderId="9" xfId="0" applyFont="1" applyBorder="1" applyAlignment="1">
      <alignment horizontal="centerContinuous" vertical="top" wrapText="1"/>
    </xf>
    <xf numFmtId="0" fontId="8" fillId="0" borderId="7" xfId="0" applyFont="1" applyBorder="1" applyAlignment="1">
      <alignment horizontal="left" vertical="top" wrapText="1"/>
    </xf>
    <xf numFmtId="0" fontId="7" fillId="2" borderId="4" xfId="0" applyFont="1" applyFill="1" applyBorder="1" applyAlignment="1">
      <alignment vertical="top" wrapText="1"/>
    </xf>
    <xf numFmtId="0" fontId="7" fillId="2" borderId="3" xfId="0" applyFont="1" applyFill="1" applyBorder="1" applyAlignment="1">
      <alignment vertical="top" wrapText="1"/>
    </xf>
    <xf numFmtId="0" fontId="13" fillId="0" borderId="10" xfId="0" applyFont="1" applyBorder="1" applyAlignment="1">
      <alignment horizontal="centerContinuous" vertical="top" wrapText="1"/>
    </xf>
    <xf numFmtId="0" fontId="7" fillId="0" borderId="6" xfId="0" applyFont="1" applyBorder="1" applyAlignment="1">
      <alignment horizontal="centerContinuous" vertical="top" wrapText="1"/>
    </xf>
    <xf numFmtId="0" fontId="12" fillId="0" borderId="4" xfId="0" applyFont="1" applyBorder="1" applyAlignment="1">
      <alignment horizontal="left" vertical="top" wrapText="1"/>
    </xf>
    <xf numFmtId="0" fontId="14" fillId="0" borderId="0" xfId="0" applyFont="1"/>
    <xf numFmtId="0" fontId="14" fillId="0" borderId="13" xfId="0" applyFont="1" applyBorder="1"/>
    <xf numFmtId="0" fontId="14" fillId="0" borderId="16" xfId="0" applyFont="1" applyBorder="1"/>
    <xf numFmtId="0" fontId="14" fillId="0" borderId="11" xfId="0" applyFont="1" applyBorder="1"/>
    <xf numFmtId="0" fontId="14" fillId="0" borderId="2" xfId="0" applyFont="1" applyBorder="1"/>
    <xf numFmtId="165" fontId="20" fillId="0" borderId="0" xfId="4" applyNumberFormat="1" applyFont="1" applyFill="1" applyBorder="1" applyAlignment="1">
      <alignment horizontal="left"/>
    </xf>
    <xf numFmtId="0" fontId="14" fillId="0" borderId="4" xfId="0" applyFont="1" applyBorder="1"/>
    <xf numFmtId="0" fontId="14" fillId="0" borderId="3" xfId="0" applyFont="1" applyBorder="1"/>
    <xf numFmtId="165" fontId="20" fillId="0" borderId="10" xfId="4" applyNumberFormat="1" applyFont="1" applyFill="1" applyBorder="1" applyAlignment="1">
      <alignment horizontal="left"/>
    </xf>
    <xf numFmtId="0" fontId="14" fillId="0" borderId="7" xfId="0" applyFont="1" applyBorder="1"/>
    <xf numFmtId="0" fontId="14" fillId="0" borderId="10" xfId="0" applyFont="1" applyBorder="1"/>
    <xf numFmtId="0" fontId="14" fillId="0" borderId="8" xfId="0" applyFont="1" applyBorder="1"/>
    <xf numFmtId="0" fontId="22" fillId="0" borderId="0" xfId="6" quotePrefix="1" applyNumberFormat="1" applyFont="1" applyFill="1" applyBorder="1" applyAlignment="1">
      <alignment horizontal="right"/>
    </xf>
    <xf numFmtId="164" fontId="20" fillId="0" borderId="0" xfId="6" quotePrefix="1" applyNumberFormat="1" applyFont="1" applyFill="1" applyBorder="1" applyAlignment="1">
      <alignment horizontal="right"/>
    </xf>
    <xf numFmtId="166" fontId="20" fillId="8" borderId="0" xfId="6" applyNumberFormat="1" applyFont="1" applyFill="1" applyBorder="1" applyAlignment="1">
      <alignment horizontal="right"/>
    </xf>
    <xf numFmtId="166" fontId="24" fillId="0" borderId="0" xfId="6" applyNumberFormat="1" applyFont="1" applyFill="1" applyBorder="1" applyAlignment="1">
      <alignment horizontal="right"/>
    </xf>
    <xf numFmtId="164" fontId="14" fillId="0" borderId="0" xfId="6" applyNumberFormat="1" applyFont="1" applyFill="1" applyBorder="1" applyAlignment="1"/>
    <xf numFmtId="166" fontId="20" fillId="0" borderId="0" xfId="6" applyNumberFormat="1" applyFont="1" applyFill="1" applyBorder="1" applyAlignment="1">
      <alignment horizontal="right"/>
    </xf>
    <xf numFmtId="0" fontId="26" fillId="3" borderId="17" xfId="7" applyFont="1" applyFill="1" applyBorder="1"/>
    <xf numFmtId="0" fontId="26" fillId="3" borderId="17" xfId="7" applyFont="1" applyFill="1" applyBorder="1" applyAlignment="1">
      <alignment horizontal="center"/>
    </xf>
    <xf numFmtId="165" fontId="27" fillId="3" borderId="18" xfId="8" applyNumberFormat="1" applyFont="1" applyFill="1" applyBorder="1" applyAlignment="1">
      <alignment horizontal="left"/>
    </xf>
    <xf numFmtId="0" fontId="28" fillId="9" borderId="12" xfId="0" applyFont="1" applyFill="1" applyBorder="1"/>
    <xf numFmtId="0" fontId="28" fillId="9" borderId="13" xfId="0" applyFont="1" applyFill="1" applyBorder="1"/>
    <xf numFmtId="0" fontId="28" fillId="0" borderId="14" xfId="0" applyFont="1" applyBorder="1"/>
    <xf numFmtId="0" fontId="28" fillId="10" borderId="14" xfId="0" applyFont="1" applyFill="1" applyBorder="1"/>
    <xf numFmtId="0" fontId="16" fillId="3" borderId="13" xfId="9" applyFont="1" applyFill="1" applyBorder="1"/>
    <xf numFmtId="0" fontId="20" fillId="6" borderId="15" xfId="0" applyFont="1" applyFill="1" applyBorder="1" applyAlignment="1">
      <alignment horizontal="left" indent="1"/>
    </xf>
    <xf numFmtId="0" fontId="20" fillId="0" borderId="15" xfId="0" applyFont="1" applyBorder="1" applyAlignment="1">
      <alignment horizontal="left" indent="1"/>
    </xf>
    <xf numFmtId="0" fontId="26" fillId="3" borderId="19" xfId="7" applyFont="1" applyFill="1" applyBorder="1"/>
    <xf numFmtId="0" fontId="26" fillId="3" borderId="19" xfId="7" applyFont="1" applyFill="1" applyBorder="1" applyAlignment="1">
      <alignment wrapText="1"/>
    </xf>
    <xf numFmtId="0" fontId="26" fillId="3" borderId="20" xfId="7" applyFont="1" applyFill="1" applyBorder="1" applyAlignment="1">
      <alignment wrapText="1"/>
    </xf>
    <xf numFmtId="0" fontId="26" fillId="3" borderId="21" xfId="7" applyFont="1" applyFill="1" applyBorder="1" applyAlignment="1">
      <alignment wrapText="1"/>
    </xf>
    <xf numFmtId="0" fontId="21" fillId="11" borderId="20" xfId="7" applyFont="1" applyFill="1" applyBorder="1"/>
    <xf numFmtId="0" fontId="21" fillId="11" borderId="20" xfId="7" applyFont="1" applyFill="1" applyBorder="1" applyAlignment="1">
      <alignment horizontal="center"/>
    </xf>
    <xf numFmtId="164" fontId="21" fillId="11" borderId="20" xfId="5" applyNumberFormat="1" applyFont="1" applyFill="1" applyBorder="1" applyAlignment="1"/>
    <xf numFmtId="164" fontId="21" fillId="11" borderId="21" xfId="5" applyNumberFormat="1" applyFont="1" applyFill="1" applyBorder="1" applyAlignment="1"/>
    <xf numFmtId="0" fontId="14" fillId="0" borderId="20" xfId="7" applyFont="1" applyBorder="1"/>
    <xf numFmtId="0" fontId="14" fillId="0" borderId="20" xfId="7" applyFont="1" applyBorder="1" applyAlignment="1">
      <alignment horizontal="center"/>
    </xf>
    <xf numFmtId="164" fontId="14" fillId="0" borderId="20" xfId="5" applyNumberFormat="1" applyFont="1" applyBorder="1" applyAlignment="1"/>
    <xf numFmtId="164" fontId="14" fillId="0" borderId="21" xfId="5" applyNumberFormat="1" applyFont="1" applyBorder="1" applyAlignment="1"/>
    <xf numFmtId="0" fontId="14" fillId="12" borderId="20" xfId="7" applyFont="1" applyFill="1" applyBorder="1"/>
    <xf numFmtId="0" fontId="14" fillId="12" borderId="20" xfId="7" applyFont="1" applyFill="1" applyBorder="1" applyAlignment="1">
      <alignment horizontal="center"/>
    </xf>
    <xf numFmtId="164" fontId="14" fillId="12" borderId="20" xfId="5" applyNumberFormat="1" applyFont="1" applyFill="1" applyBorder="1" applyAlignment="1"/>
    <xf numFmtId="164" fontId="14" fillId="12" borderId="21" xfId="5" applyNumberFormat="1" applyFont="1" applyFill="1" applyBorder="1" applyAlignment="1"/>
    <xf numFmtId="0" fontId="22" fillId="0" borderId="0" xfId="0" applyFont="1"/>
    <xf numFmtId="164" fontId="20" fillId="8" borderId="0" xfId="6" quotePrefix="1" applyNumberFormat="1" applyFont="1" applyFill="1" applyBorder="1" applyAlignment="1">
      <alignment horizontal="right"/>
    </xf>
    <xf numFmtId="0" fontId="14" fillId="0" borderId="0" xfId="0" applyFont="1" applyAlignment="1">
      <alignment horizontal="left"/>
    </xf>
    <xf numFmtId="0" fontId="22" fillId="0" borderId="4" xfId="0" applyFont="1" applyBorder="1" applyAlignment="1">
      <alignment horizontal="left"/>
    </xf>
    <xf numFmtId="0" fontId="23" fillId="0" borderId="4" xfId="0" applyFont="1" applyBorder="1"/>
    <xf numFmtId="0" fontId="14" fillId="0" borderId="4" xfId="0" applyFont="1" applyBorder="1" applyAlignment="1">
      <alignment horizontal="left"/>
    </xf>
    <xf numFmtId="0" fontId="21" fillId="0" borderId="4" xfId="0" applyFont="1" applyBorder="1" applyAlignment="1">
      <alignment horizontal="left"/>
    </xf>
    <xf numFmtId="0" fontId="23" fillId="0" borderId="4" xfId="0" applyFont="1" applyBorder="1" applyAlignment="1">
      <alignment horizontal="left"/>
    </xf>
    <xf numFmtId="0" fontId="21" fillId="0" borderId="4" xfId="0" applyFont="1" applyBorder="1" applyAlignment="1">
      <alignment horizontal="left" vertical="center"/>
    </xf>
    <xf numFmtId="0" fontId="23" fillId="0" borderId="7" xfId="0" applyFont="1" applyBorder="1"/>
    <xf numFmtId="166" fontId="20" fillId="0" borderId="10" xfId="6" applyNumberFormat="1" applyFont="1" applyFill="1" applyBorder="1" applyAlignment="1">
      <alignment horizontal="right"/>
    </xf>
    <xf numFmtId="0" fontId="20" fillId="0" borderId="0" xfId="6" quotePrefix="1" applyNumberFormat="1" applyFont="1" applyFill="1" applyBorder="1" applyAlignment="1">
      <alignment horizontal="right"/>
    </xf>
    <xf numFmtId="0" fontId="20" fillId="0" borderId="0" xfId="0" applyFont="1"/>
    <xf numFmtId="0" fontId="22" fillId="0" borderId="11" xfId="0" applyFont="1" applyBorder="1"/>
    <xf numFmtId="0" fontId="29" fillId="0" borderId="4" xfId="0" applyFont="1" applyBorder="1" applyAlignment="1">
      <alignment horizontal="left"/>
    </xf>
    <xf numFmtId="0" fontId="14" fillId="0" borderId="22" xfId="0" applyFont="1" applyBorder="1"/>
    <xf numFmtId="0" fontId="30" fillId="0" borderId="1" xfId="0" applyFont="1" applyBorder="1"/>
    <xf numFmtId="0" fontId="20" fillId="0" borderId="0" xfId="0" applyFont="1" applyAlignment="1">
      <alignment horizontal="left"/>
    </xf>
    <xf numFmtId="0" fontId="20" fillId="0" borderId="4" xfId="0" applyFont="1" applyBorder="1" applyAlignment="1">
      <alignment horizontal="left"/>
    </xf>
    <xf numFmtId="0" fontId="20" fillId="0" borderId="7" xfId="0" applyFont="1" applyBorder="1" applyAlignment="1">
      <alignment horizontal="left"/>
    </xf>
    <xf numFmtId="0" fontId="20" fillId="0" borderId="10" xfId="0" applyFont="1" applyBorder="1" applyAlignment="1">
      <alignment horizontal="left"/>
    </xf>
    <xf numFmtId="166" fontId="20" fillId="0" borderId="11" xfId="6" applyNumberFormat="1" applyFont="1" applyFill="1" applyBorder="1" applyAlignment="1">
      <alignment horizontal="right"/>
    </xf>
    <xf numFmtId="0" fontId="26" fillId="3" borderId="23" xfId="7" applyFont="1" applyFill="1" applyBorder="1"/>
    <xf numFmtId="0" fontId="28" fillId="9" borderId="4" xfId="0" applyFont="1" applyFill="1" applyBorder="1"/>
    <xf numFmtId="0" fontId="28" fillId="9" borderId="0" xfId="0" applyFont="1" applyFill="1"/>
    <xf numFmtId="0" fontId="28" fillId="0" borderId="4" xfId="0" applyFont="1" applyBorder="1"/>
    <xf numFmtId="0" fontId="28" fillId="0" borderId="0" xfId="0" applyFont="1"/>
    <xf numFmtId="0" fontId="28" fillId="10" borderId="4" xfId="0" applyFont="1" applyFill="1" applyBorder="1"/>
    <xf numFmtId="0" fontId="28" fillId="10" borderId="0" xfId="0" applyFont="1" applyFill="1"/>
    <xf numFmtId="0" fontId="28" fillId="0" borderId="7" xfId="0" applyFont="1" applyBorder="1"/>
    <xf numFmtId="0" fontId="28" fillId="0" borderId="10" xfId="0" applyFont="1" applyBorder="1"/>
    <xf numFmtId="0" fontId="28" fillId="0" borderId="24" xfId="0" applyFont="1" applyBorder="1"/>
    <xf numFmtId="0" fontId="16" fillId="3" borderId="25" xfId="9" applyFont="1" applyFill="1" applyBorder="1"/>
    <xf numFmtId="0" fontId="27" fillId="3" borderId="4" xfId="9" applyFont="1" applyFill="1" applyBorder="1"/>
    <xf numFmtId="0" fontId="27" fillId="3" borderId="0" xfId="9" applyFont="1" applyFill="1"/>
    <xf numFmtId="0" fontId="27" fillId="3" borderId="0" xfId="8" quotePrefix="1" applyFont="1" applyFill="1" applyAlignment="1">
      <alignment horizontal="right"/>
    </xf>
    <xf numFmtId="0" fontId="27" fillId="3" borderId="3" xfId="8" quotePrefix="1" applyFont="1" applyFill="1" applyBorder="1" applyAlignment="1">
      <alignment horizontal="right"/>
    </xf>
    <xf numFmtId="0" fontId="20" fillId="6" borderId="4" xfId="0" applyFont="1" applyFill="1" applyBorder="1" applyAlignment="1">
      <alignment horizontal="left" vertical="top"/>
    </xf>
    <xf numFmtId="0" fontId="20" fillId="6" borderId="0" xfId="0" applyFont="1" applyFill="1" applyAlignment="1">
      <alignment horizontal="left" indent="1"/>
    </xf>
    <xf numFmtId="0" fontId="20" fillId="0" borderId="4" xfId="0" applyFont="1" applyBorder="1" applyAlignment="1">
      <alignment horizontal="left" vertical="top"/>
    </xf>
    <xf numFmtId="0" fontId="20" fillId="0" borderId="0" xfId="0" applyFont="1" applyAlignment="1">
      <alignment horizontal="left" indent="1"/>
    </xf>
    <xf numFmtId="0" fontId="20" fillId="0" borderId="7" xfId="0" applyFont="1" applyBorder="1" applyAlignment="1">
      <alignment horizontal="left" vertical="top"/>
    </xf>
    <xf numFmtId="0" fontId="20" fillId="0" borderId="10" xfId="0" applyFont="1" applyBorder="1" applyAlignment="1">
      <alignment horizontal="left" indent="1"/>
    </xf>
    <xf numFmtId="0" fontId="20" fillId="0" borderId="27" xfId="0" applyFont="1" applyBorder="1" applyAlignment="1">
      <alignment horizontal="left" indent="1"/>
    </xf>
    <xf numFmtId="0" fontId="26" fillId="3" borderId="30" xfId="7" applyFont="1" applyFill="1" applyBorder="1"/>
    <xf numFmtId="0" fontId="26" fillId="3" borderId="31" xfId="7" applyFont="1" applyFill="1" applyBorder="1" applyAlignment="1">
      <alignment wrapText="1"/>
    </xf>
    <xf numFmtId="0" fontId="21" fillId="11" borderId="32" xfId="7" applyFont="1" applyFill="1" applyBorder="1"/>
    <xf numFmtId="164" fontId="21" fillId="11" borderId="31" xfId="5" applyNumberFormat="1" applyFont="1" applyFill="1" applyBorder="1" applyAlignment="1"/>
    <xf numFmtId="0" fontId="14" fillId="0" borderId="32" xfId="7" applyFont="1" applyBorder="1"/>
    <xf numFmtId="164" fontId="14" fillId="0" borderId="31" xfId="5" applyNumberFormat="1" applyFont="1" applyBorder="1" applyAlignment="1"/>
    <xf numFmtId="164" fontId="14" fillId="12" borderId="31" xfId="5" applyNumberFormat="1" applyFont="1" applyFill="1" applyBorder="1" applyAlignment="1"/>
    <xf numFmtId="0" fontId="14" fillId="0" borderId="33" xfId="7" applyFont="1" applyBorder="1"/>
    <xf numFmtId="0" fontId="14" fillId="12" borderId="34" xfId="7" applyFont="1" applyFill="1" applyBorder="1"/>
    <xf numFmtId="0" fontId="14" fillId="12" borderId="34" xfId="7" applyFont="1" applyFill="1" applyBorder="1" applyAlignment="1">
      <alignment horizontal="center"/>
    </xf>
    <xf numFmtId="164" fontId="14" fillId="12" borderId="34" xfId="5" applyNumberFormat="1" applyFont="1" applyFill="1" applyBorder="1" applyAlignment="1"/>
    <xf numFmtId="164" fontId="14" fillId="12" borderId="35" xfId="5" applyNumberFormat="1" applyFont="1" applyFill="1" applyBorder="1" applyAlignment="1"/>
    <xf numFmtId="164" fontId="14" fillId="12" borderId="36" xfId="5" applyNumberFormat="1" applyFont="1" applyFill="1" applyBorder="1" applyAlignment="1"/>
    <xf numFmtId="0" fontId="8" fillId="0" borderId="10" xfId="0" applyFont="1" applyBorder="1" applyAlignment="1">
      <alignment horizontal="left" vertical="top" wrapText="1"/>
    </xf>
    <xf numFmtId="0" fontId="8" fillId="0" borderId="9" xfId="0" applyFont="1" applyBorder="1" applyAlignment="1">
      <alignment horizontal="left" vertical="top" wrapText="1"/>
    </xf>
    <xf numFmtId="0" fontId="11" fillId="0" borderId="0" xfId="1" applyNumberFormat="1" applyFont="1" applyFill="1" applyBorder="1" applyAlignment="1" applyProtection="1">
      <alignment vertical="top" wrapText="1"/>
    </xf>
    <xf numFmtId="0" fontId="11" fillId="0" borderId="3" xfId="1" applyNumberFormat="1" applyFont="1" applyFill="1" applyBorder="1" applyAlignment="1" applyProtection="1">
      <alignment vertical="top" wrapText="1"/>
    </xf>
    <xf numFmtId="0" fontId="13" fillId="0" borderId="4" xfId="0" applyFont="1" applyBorder="1" applyAlignment="1">
      <alignment horizontal="center" vertical="top" wrapText="1"/>
    </xf>
    <xf numFmtId="0" fontId="13" fillId="0" borderId="0" xfId="0" applyFont="1" applyAlignment="1">
      <alignment horizontal="center" vertical="top" wrapText="1"/>
    </xf>
    <xf numFmtId="0" fontId="7" fillId="0" borderId="0" xfId="0" applyFont="1" applyAlignment="1">
      <alignment horizontal="center" vertical="top" wrapText="1"/>
    </xf>
    <xf numFmtId="0" fontId="7" fillId="0" borderId="3" xfId="0" applyFont="1" applyBorder="1" applyAlignment="1">
      <alignment horizontal="center" vertical="top" wrapText="1"/>
    </xf>
    <xf numFmtId="0" fontId="8" fillId="0" borderId="0" xfId="0" applyFont="1" applyAlignment="1">
      <alignment vertical="top" wrapText="1"/>
    </xf>
    <xf numFmtId="0" fontId="7" fillId="0" borderId="0" xfId="0" applyFont="1"/>
    <xf numFmtId="15" fontId="7" fillId="0" borderId="0" xfId="0" applyNumberFormat="1" applyFont="1" applyAlignment="1">
      <alignment vertical="top"/>
    </xf>
    <xf numFmtId="0" fontId="3" fillId="0" borderId="0" xfId="0" applyFont="1" applyAlignment="1">
      <alignment vertical="top"/>
    </xf>
    <xf numFmtId="0" fontId="5" fillId="0" borderId="0" xfId="0" applyFont="1" applyAlignment="1">
      <alignment horizontal="left" vertical="top"/>
    </xf>
    <xf numFmtId="49" fontId="7" fillId="0" borderId="0" xfId="0" applyNumberFormat="1" applyFont="1" applyAlignment="1">
      <alignment vertical="top" wrapText="1"/>
    </xf>
    <xf numFmtId="0" fontId="7" fillId="0" borderId="0" xfId="0" applyFont="1" applyAlignment="1">
      <alignment vertical="center"/>
    </xf>
    <xf numFmtId="0" fontId="13" fillId="2" borderId="4" xfId="0" applyFont="1" applyFill="1" applyBorder="1" applyAlignment="1">
      <alignment vertical="top" wrapText="1"/>
    </xf>
    <xf numFmtId="0" fontId="8" fillId="0" borderId="4" xfId="0" applyFont="1" applyBorder="1" applyAlignment="1">
      <alignment horizontal="left" vertical="top" wrapText="1"/>
    </xf>
    <xf numFmtId="0" fontId="8" fillId="0" borderId="0" xfId="0" applyFont="1" applyAlignment="1">
      <alignment horizontal="left" vertical="top" wrapText="1"/>
    </xf>
    <xf numFmtId="0" fontId="8" fillId="0" borderId="3" xfId="0" applyFont="1" applyBorder="1" applyAlignment="1">
      <alignment horizontal="left" vertical="top" wrapText="1"/>
    </xf>
    <xf numFmtId="0" fontId="8" fillId="0" borderId="3" xfId="0" applyFont="1" applyBorder="1" applyAlignment="1">
      <alignment vertical="top" wrapText="1"/>
    </xf>
    <xf numFmtId="0" fontId="8" fillId="0" borderId="5" xfId="0" applyFont="1" applyBorder="1" applyAlignment="1">
      <alignment horizontal="left" vertical="top" wrapText="1"/>
    </xf>
    <xf numFmtId="0" fontId="8" fillId="0" borderId="4" xfId="0" applyFont="1" applyBorder="1" applyAlignment="1">
      <alignment vertical="top" wrapText="1"/>
    </xf>
    <xf numFmtId="0" fontId="7" fillId="6" borderId="0" xfId="0" applyFont="1" applyFill="1"/>
    <xf numFmtId="0" fontId="7" fillId="6" borderId="0" xfId="0" applyFont="1" applyFill="1" applyAlignment="1">
      <alignment vertical="top"/>
    </xf>
    <xf numFmtId="0" fontId="7" fillId="0" borderId="0" xfId="0" applyFont="1" applyAlignment="1">
      <alignment horizontal="left"/>
    </xf>
    <xf numFmtId="0" fontId="7" fillId="0" borderId="0" xfId="0" applyFont="1" applyAlignment="1">
      <alignment horizontal="left" vertical="top"/>
    </xf>
    <xf numFmtId="15" fontId="7" fillId="0" borderId="0" xfId="0" quotePrefix="1" applyNumberFormat="1" applyFont="1"/>
    <xf numFmtId="0" fontId="7" fillId="0" borderId="4" xfId="0" applyFont="1" applyBorder="1" applyAlignment="1">
      <alignment vertical="top" wrapText="1"/>
    </xf>
    <xf numFmtId="0" fontId="7" fillId="0" borderId="0" xfId="0" applyFont="1" applyAlignment="1">
      <alignment vertical="top" wrapText="1"/>
    </xf>
    <xf numFmtId="0" fontId="7" fillId="0" borderId="3" xfId="0" applyFont="1" applyBorder="1" applyAlignment="1">
      <alignment vertical="top" wrapText="1"/>
    </xf>
    <xf numFmtId="0" fontId="12" fillId="0" borderId="0" xfId="0" applyFont="1" applyAlignment="1">
      <alignment wrapText="1"/>
    </xf>
    <xf numFmtId="0" fontId="7" fillId="0" borderId="0" xfId="0" applyFont="1" applyAlignment="1">
      <alignment wrapText="1"/>
    </xf>
    <xf numFmtId="0" fontId="7" fillId="0" borderId="3" xfId="0" applyFont="1" applyBorder="1" applyAlignment="1">
      <alignment wrapText="1"/>
    </xf>
    <xf numFmtId="0" fontId="7" fillId="0" borderId="7" xfId="0" applyFont="1" applyBorder="1" applyAlignment="1">
      <alignment vertical="top" wrapText="1"/>
    </xf>
    <xf numFmtId="0" fontId="7" fillId="0" borderId="10" xfId="0" applyFont="1" applyBorder="1" applyAlignment="1">
      <alignment vertical="top" wrapText="1"/>
    </xf>
    <xf numFmtId="0" fontId="7" fillId="0" borderId="8" xfId="0" applyFont="1" applyBorder="1" applyAlignment="1">
      <alignment vertical="top" wrapText="1"/>
    </xf>
    <xf numFmtId="0" fontId="7" fillId="0" borderId="3" xfId="0" applyFont="1" applyBorder="1"/>
    <xf numFmtId="0" fontId="12" fillId="0" borderId="0" xfId="0" applyFont="1" applyAlignment="1">
      <alignment horizontal="left" vertical="top" wrapText="1"/>
    </xf>
    <xf numFmtId="49" fontId="7" fillId="2" borderId="0" xfId="0" applyNumberFormat="1" applyFont="1" applyFill="1" applyAlignment="1">
      <alignment vertical="top" wrapText="1"/>
    </xf>
    <xf numFmtId="49" fontId="7" fillId="0" borderId="0" xfId="0" applyNumberFormat="1" applyFont="1" applyAlignment="1">
      <alignment vertical="top"/>
    </xf>
    <xf numFmtId="0" fontId="7" fillId="2" borderId="0" xfId="0" applyFont="1" applyFill="1" applyAlignment="1">
      <alignment horizontal="left" vertical="top" wrapText="1"/>
    </xf>
    <xf numFmtId="0" fontId="7" fillId="0" borderId="0" xfId="0" applyFont="1" applyAlignment="1">
      <alignment horizontal="left" vertical="top" wrapText="1"/>
    </xf>
    <xf numFmtId="0" fontId="7" fillId="0" borderId="4" xfId="0" applyFont="1" applyBorder="1" applyAlignment="1">
      <alignment wrapText="1"/>
    </xf>
    <xf numFmtId="0" fontId="7" fillId="0" borderId="8" xfId="0" applyFont="1" applyBorder="1" applyAlignment="1">
      <alignment wrapText="1"/>
    </xf>
    <xf numFmtId="0" fontId="7" fillId="0" borderId="7" xfId="0" applyFont="1" applyBorder="1" applyAlignment="1">
      <alignment wrapText="1"/>
    </xf>
    <xf numFmtId="0" fontId="7" fillId="0" borderId="10" xfId="0" applyFont="1" applyBorder="1" applyAlignment="1">
      <alignment wrapText="1"/>
    </xf>
    <xf numFmtId="0" fontId="7" fillId="0" borderId="3" xfId="0" applyFont="1" applyBorder="1" applyAlignment="1">
      <alignment vertical="center"/>
    </xf>
    <xf numFmtId="0" fontId="9" fillId="0" borderId="0" xfId="0" applyFont="1" applyAlignment="1">
      <alignment vertical="top" wrapText="1"/>
    </xf>
    <xf numFmtId="0" fontId="6" fillId="0" borderId="0" xfId="0" applyFont="1" applyAlignment="1">
      <alignment wrapText="1"/>
    </xf>
    <xf numFmtId="0" fontId="9" fillId="0" borderId="0" xfId="0" applyFont="1"/>
    <xf numFmtId="0" fontId="7" fillId="6" borderId="0" xfId="0" applyFont="1" applyFill="1" applyAlignment="1">
      <alignment wrapText="1"/>
    </xf>
    <xf numFmtId="0" fontId="7" fillId="6" borderId="0" xfId="0" applyFont="1" applyFill="1" applyAlignment="1">
      <alignment vertical="top" wrapText="1"/>
    </xf>
    <xf numFmtId="0" fontId="33" fillId="0" borderId="0" xfId="0" applyFont="1"/>
    <xf numFmtId="0" fontId="33" fillId="6" borderId="0" xfId="0" applyFont="1" applyFill="1"/>
    <xf numFmtId="0" fontId="11" fillId="0" borderId="0" xfId="0" applyFont="1"/>
    <xf numFmtId="0" fontId="34" fillId="13" borderId="0" xfId="0" applyFont="1" applyFill="1" applyAlignment="1">
      <alignment vertical="center"/>
    </xf>
    <xf numFmtId="0" fontId="34" fillId="0" borderId="0" xfId="0" applyFont="1" applyAlignment="1">
      <alignment vertical="center"/>
    </xf>
    <xf numFmtId="0" fontId="9" fillId="0" borderId="0" xfId="0" applyFont="1" applyAlignment="1">
      <alignment vertical="center"/>
    </xf>
    <xf numFmtId="0" fontId="7" fillId="0" borderId="0" xfId="0" applyFont="1" applyAlignment="1">
      <alignment horizontal="centerContinuous" vertical="center" wrapText="1"/>
    </xf>
    <xf numFmtId="0" fontId="7" fillId="0" borderId="3" xfId="0" applyFont="1" applyBorder="1" applyAlignment="1">
      <alignment horizontal="centerContinuous" vertical="center" wrapText="1"/>
    </xf>
    <xf numFmtId="0" fontId="8" fillId="0" borderId="4" xfId="0" applyFont="1" applyBorder="1" applyAlignment="1">
      <alignment horizontal="right" vertical="top" wrapText="1" indent="1"/>
    </xf>
    <xf numFmtId="0" fontId="8" fillId="0" borderId="4" xfId="0" applyFont="1" applyBorder="1" applyAlignment="1">
      <alignment vertical="top"/>
    </xf>
    <xf numFmtId="0" fontId="32" fillId="4" borderId="52" xfId="1" applyNumberFormat="1" applyFont="1" applyFill="1" applyBorder="1" applyAlignment="1" applyProtection="1">
      <alignment horizontal="center" vertical="top" wrapText="1"/>
      <protection locked="0"/>
    </xf>
    <xf numFmtId="0" fontId="8" fillId="0" borderId="52" xfId="0" applyFont="1" applyBorder="1" applyAlignment="1">
      <alignment horizontal="center" vertical="center" wrapText="1"/>
    </xf>
    <xf numFmtId="164" fontId="11" fillId="4" borderId="52" xfId="6" applyNumberFormat="1" applyFont="1" applyFill="1" applyBorder="1" applyAlignment="1" applyProtection="1">
      <alignment horizontal="center" vertical="center" wrapText="1"/>
      <protection locked="0"/>
    </xf>
    <xf numFmtId="0" fontId="11" fillId="4" borderId="52" xfId="1" applyNumberFormat="1" applyFont="1" applyFill="1" applyBorder="1" applyAlignment="1" applyProtection="1">
      <alignment horizontal="center" vertical="top" wrapText="1"/>
      <protection locked="0"/>
    </xf>
    <xf numFmtId="0" fontId="9" fillId="7" borderId="52" xfId="0" applyFont="1" applyFill="1" applyBorder="1" applyAlignment="1">
      <alignment horizontal="center" vertical="top" wrapText="1"/>
    </xf>
    <xf numFmtId="0" fontId="8" fillId="0" borderId="44" xfId="0" applyFont="1" applyBorder="1" applyAlignment="1">
      <alignment horizontal="left" vertical="top" wrapText="1"/>
    </xf>
    <xf numFmtId="0" fontId="12" fillId="0" borderId="0" xfId="0" applyFont="1" applyAlignment="1">
      <alignment vertical="center" wrapText="1"/>
    </xf>
    <xf numFmtId="0" fontId="13" fillId="0" borderId="52" xfId="0" applyFont="1" applyBorder="1" applyAlignment="1">
      <alignment horizontal="center" vertical="center" wrapText="1"/>
    </xf>
    <xf numFmtId="0" fontId="9" fillId="7" borderId="57" xfId="0" applyFont="1" applyFill="1" applyBorder="1" applyAlignment="1">
      <alignment horizontal="center" vertical="top" wrapText="1"/>
    </xf>
    <xf numFmtId="0" fontId="8" fillId="0" borderId="52" xfId="0" applyFont="1" applyBorder="1" applyAlignment="1">
      <alignment horizontal="center" vertical="top" wrapText="1"/>
    </xf>
    <xf numFmtId="0" fontId="8" fillId="0" borderId="47" xfId="0" applyFont="1" applyBorder="1" applyAlignment="1">
      <alignment horizontal="left" vertical="top" wrapText="1"/>
    </xf>
    <xf numFmtId="0" fontId="13" fillId="0" borderId="45" xfId="0" applyFont="1" applyBorder="1" applyAlignment="1">
      <alignment horizontal="centerContinuous" vertical="top" wrapText="1"/>
    </xf>
    <xf numFmtId="0" fontId="13" fillId="0" borderId="52" xfId="0" applyFont="1" applyBorder="1" applyAlignment="1">
      <alignment horizontal="center" vertical="top" wrapText="1"/>
    </xf>
    <xf numFmtId="0" fontId="7" fillId="0" borderId="45" xfId="0" applyFont="1" applyBorder="1" applyAlignment="1">
      <alignment wrapText="1"/>
    </xf>
    <xf numFmtId="0" fontId="13" fillId="14" borderId="56" xfId="0" applyFont="1" applyFill="1" applyBorder="1" applyAlignment="1">
      <alignment horizontal="left" vertical="top" wrapText="1"/>
    </xf>
    <xf numFmtId="1" fontId="11" fillId="5" borderId="52" xfId="1" applyNumberFormat="1" applyFont="1" applyFill="1" applyBorder="1" applyAlignment="1" applyProtection="1">
      <alignment horizontal="center" vertical="top" wrapText="1"/>
    </xf>
    <xf numFmtId="0" fontId="7" fillId="2" borderId="4" xfId="0" applyFont="1" applyFill="1" applyBorder="1" applyAlignment="1">
      <alignment vertical="top"/>
    </xf>
    <xf numFmtId="0" fontId="7" fillId="6" borderId="0" xfId="0" applyFont="1" applyFill="1" applyAlignment="1">
      <alignment horizontal="center"/>
    </xf>
    <xf numFmtId="0" fontId="7" fillId="0" borderId="0" xfId="0" applyFont="1" applyAlignment="1">
      <alignment horizontal="center"/>
    </xf>
    <xf numFmtId="0" fontId="36" fillId="2" borderId="4" xfId="0" applyFont="1" applyFill="1" applyBorder="1" applyAlignment="1">
      <alignment horizontal="center" vertical="top" wrapText="1"/>
    </xf>
    <xf numFmtId="0" fontId="36" fillId="2" borderId="0" xfId="0" applyFont="1" applyFill="1" applyAlignment="1">
      <alignment horizontal="center" vertical="top" wrapText="1"/>
    </xf>
    <xf numFmtId="0" fontId="5" fillId="0" borderId="0" xfId="0" applyFont="1" applyAlignment="1">
      <alignment horizontal="left" vertical="top" indent="1"/>
    </xf>
    <xf numFmtId="0" fontId="5" fillId="0" borderId="0" xfId="0" applyFont="1" applyAlignment="1">
      <alignment horizontal="left" vertical="top" wrapText="1"/>
    </xf>
    <xf numFmtId="0" fontId="5" fillId="0" borderId="0" xfId="0" applyFont="1" applyAlignment="1">
      <alignment horizontal="left" vertical="top" wrapText="1" indent="1"/>
    </xf>
    <xf numFmtId="0" fontId="13" fillId="14" borderId="56" xfId="0" applyFont="1" applyFill="1" applyBorder="1" applyAlignment="1">
      <alignment horizontal="left" vertical="center" wrapText="1"/>
    </xf>
    <xf numFmtId="0" fontId="8" fillId="0" borderId="4" xfId="0" applyFont="1" applyBorder="1" applyAlignment="1">
      <alignment horizontal="left" vertical="center" wrapText="1"/>
    </xf>
    <xf numFmtId="0" fontId="8" fillId="2" borderId="0" xfId="0" applyFont="1" applyFill="1" applyAlignment="1">
      <alignment horizontal="left" vertical="top"/>
    </xf>
    <xf numFmtId="0" fontId="13" fillId="0" borderId="4" xfId="0" applyFont="1" applyBorder="1" applyAlignment="1">
      <alignment horizontal="left" vertical="top" wrapText="1" indent="1"/>
    </xf>
    <xf numFmtId="0" fontId="13" fillId="0" borderId="0" xfId="0" applyFont="1" applyAlignment="1">
      <alignment horizontal="left" vertical="top" wrapText="1" indent="1"/>
    </xf>
    <xf numFmtId="0" fontId="8" fillId="0" borderId="0" xfId="0" applyFont="1" applyAlignment="1">
      <alignment horizontal="center" vertical="top" wrapText="1"/>
    </xf>
    <xf numFmtId="0" fontId="8" fillId="0" borderId="4" xfId="0" applyFont="1" applyBorder="1" applyAlignment="1">
      <alignment horizontal="left" vertical="top"/>
    </xf>
    <xf numFmtId="0" fontId="9" fillId="0" borderId="4" xfId="0" applyFont="1" applyBorder="1" applyAlignment="1">
      <alignment vertical="top"/>
    </xf>
    <xf numFmtId="0" fontId="13" fillId="0" borderId="4" xfId="0" applyFont="1" applyBorder="1" applyAlignment="1">
      <alignment horizontal="right" vertical="top" wrapText="1" indent="1"/>
    </xf>
    <xf numFmtId="0" fontId="13" fillId="0" borderId="0" xfId="0" applyFont="1" applyAlignment="1">
      <alignment horizontal="right" vertical="top" wrapText="1" indent="1"/>
    </xf>
    <xf numFmtId="164" fontId="10" fillId="0" borderId="0" xfId="6" applyNumberFormat="1" applyFont="1" applyFill="1" applyBorder="1" applyAlignment="1" applyProtection="1">
      <alignment horizontal="right" vertical="top" wrapText="1"/>
    </xf>
    <xf numFmtId="0" fontId="9" fillId="0" borderId="3" xfId="0" applyFont="1" applyBorder="1" applyAlignment="1">
      <alignment vertical="top"/>
    </xf>
    <xf numFmtId="0" fontId="6" fillId="3" borderId="0" xfId="0" applyFont="1" applyFill="1" applyAlignment="1">
      <alignment horizontal="left" vertical="top" wrapText="1"/>
    </xf>
    <xf numFmtId="0" fontId="4" fillId="3" borderId="4" xfId="0" applyFont="1" applyFill="1" applyBorder="1" applyAlignment="1">
      <alignment vertical="top" wrapText="1"/>
    </xf>
    <xf numFmtId="0" fontId="4" fillId="3" borderId="3" xfId="0" applyFont="1" applyFill="1" applyBorder="1" applyAlignment="1">
      <alignment vertical="top" wrapText="1"/>
    </xf>
    <xf numFmtId="0" fontId="6" fillId="3" borderId="4" xfId="0" applyFont="1" applyFill="1" applyBorder="1" applyAlignment="1">
      <alignment horizontal="left" vertical="top" wrapText="1"/>
    </xf>
    <xf numFmtId="0" fontId="2" fillId="2" borderId="0" xfId="0" applyFont="1" applyFill="1" applyAlignment="1">
      <alignment vertical="top" wrapText="1"/>
    </xf>
    <xf numFmtId="0" fontId="4" fillId="2" borderId="0" xfId="0" applyFont="1" applyFill="1" applyAlignment="1">
      <alignment horizontal="left" vertical="top" indent="1"/>
    </xf>
    <xf numFmtId="0" fontId="3" fillId="2" borderId="0" xfId="0" applyFont="1" applyFill="1" applyAlignment="1">
      <alignment horizontal="left" vertical="top"/>
    </xf>
    <xf numFmtId="0" fontId="5" fillId="2" borderId="0" xfId="0" applyFont="1" applyFill="1" applyAlignment="1">
      <alignment horizontal="left" vertical="top"/>
    </xf>
    <xf numFmtId="0" fontId="6" fillId="3" borderId="0" xfId="0" applyFont="1" applyFill="1" applyAlignment="1">
      <alignment horizontal="center" vertical="top"/>
    </xf>
    <xf numFmtId="0" fontId="6" fillId="3" borderId="0" xfId="0" applyFont="1" applyFill="1" applyAlignment="1">
      <alignment horizontal="center" vertical="top" wrapText="1"/>
    </xf>
    <xf numFmtId="0" fontId="2" fillId="2" borderId="0" xfId="0" applyFont="1" applyFill="1" applyAlignment="1">
      <alignment horizontal="left" vertical="top"/>
    </xf>
    <xf numFmtId="0" fontId="2" fillId="2" borderId="0" xfId="0" applyFont="1" applyFill="1" applyAlignment="1">
      <alignment horizontal="left" vertical="top" wrapText="1"/>
    </xf>
    <xf numFmtId="0" fontId="4" fillId="2" borderId="0" xfId="0" applyFont="1" applyFill="1" applyAlignment="1">
      <alignment vertical="top" wrapText="1"/>
    </xf>
    <xf numFmtId="0" fontId="5" fillId="2" borderId="0" xfId="0" applyFont="1" applyFill="1" applyAlignment="1">
      <alignment vertical="top"/>
    </xf>
    <xf numFmtId="49" fontId="4" fillId="2" borderId="0" xfId="0" applyNumberFormat="1" applyFont="1" applyFill="1" applyAlignment="1">
      <alignment vertical="top" wrapText="1"/>
    </xf>
    <xf numFmtId="49" fontId="4" fillId="2" borderId="0" xfId="0" applyNumberFormat="1" applyFont="1" applyFill="1" applyAlignment="1">
      <alignment vertical="top"/>
    </xf>
    <xf numFmtId="49" fontId="4" fillId="0" borderId="0" xfId="0" applyNumberFormat="1" applyFont="1" applyAlignment="1">
      <alignment vertical="top" wrapText="1"/>
    </xf>
    <xf numFmtId="49" fontId="2" fillId="2" borderId="0" xfId="0" applyNumberFormat="1" applyFont="1" applyFill="1" applyAlignment="1">
      <alignment horizontal="left" vertical="top" wrapText="1"/>
    </xf>
    <xf numFmtId="0" fontId="5" fillId="2" borderId="4" xfId="0" applyFont="1" applyFill="1" applyBorder="1" applyAlignment="1">
      <alignment horizontal="left" vertical="top" wrapText="1"/>
    </xf>
    <xf numFmtId="0" fontId="5" fillId="2" borderId="0" xfId="0" applyFont="1" applyFill="1" applyAlignment="1">
      <alignment horizontal="left" vertical="top" wrapText="1"/>
    </xf>
    <xf numFmtId="0" fontId="5" fillId="2" borderId="3" xfId="0" applyFont="1" applyFill="1" applyBorder="1" applyAlignment="1">
      <alignment horizontal="left" vertical="top" wrapText="1"/>
    </xf>
    <xf numFmtId="0" fontId="5" fillId="2" borderId="0" xfId="0" applyFont="1" applyFill="1" applyAlignment="1">
      <alignment vertical="top" wrapText="1"/>
    </xf>
    <xf numFmtId="164" fontId="11" fillId="4" borderId="52" xfId="6" applyNumberFormat="1" applyFont="1" applyFill="1" applyBorder="1" applyAlignment="1" applyProtection="1">
      <alignment vertical="center"/>
      <protection locked="0"/>
    </xf>
    <xf numFmtId="164" fontId="10" fillId="5" borderId="52" xfId="6" applyNumberFormat="1" applyFont="1" applyFill="1" applyBorder="1" applyAlignment="1" applyProtection="1">
      <alignment vertical="center"/>
    </xf>
    <xf numFmtId="164" fontId="11" fillId="4" borderId="69" xfId="6" applyNumberFormat="1" applyFont="1" applyFill="1" applyBorder="1" applyAlignment="1" applyProtection="1">
      <alignment vertical="top"/>
      <protection locked="0"/>
    </xf>
    <xf numFmtId="164" fontId="11" fillId="5" borderId="69" xfId="6" applyNumberFormat="1" applyFont="1" applyFill="1" applyBorder="1" applyAlignment="1" applyProtection="1">
      <alignment vertical="top"/>
    </xf>
    <xf numFmtId="164" fontId="11" fillId="4" borderId="52" xfId="6" applyNumberFormat="1" applyFont="1" applyFill="1" applyBorder="1" applyAlignment="1" applyProtection="1">
      <alignment vertical="top"/>
      <protection locked="0"/>
    </xf>
    <xf numFmtId="164" fontId="11" fillId="5" borderId="52" xfId="6" applyNumberFormat="1" applyFont="1" applyFill="1" applyBorder="1" applyAlignment="1" applyProtection="1">
      <alignment vertical="top"/>
    </xf>
    <xf numFmtId="164" fontId="11" fillId="4" borderId="54" xfId="6" applyNumberFormat="1" applyFont="1" applyFill="1" applyBorder="1" applyAlignment="1" applyProtection="1">
      <alignment vertical="top"/>
      <protection locked="0"/>
    </xf>
    <xf numFmtId="164" fontId="11" fillId="5" borderId="52" xfId="6" applyNumberFormat="1" applyFont="1" applyFill="1" applyBorder="1" applyAlignment="1" applyProtection="1">
      <alignment vertical="center"/>
    </xf>
    <xf numFmtId="164" fontId="11" fillId="4" borderId="57" xfId="6" applyNumberFormat="1" applyFont="1" applyFill="1" applyBorder="1" applyAlignment="1" applyProtection="1">
      <alignment vertical="center"/>
      <protection locked="0"/>
    </xf>
    <xf numFmtId="164" fontId="10" fillId="5" borderId="52" xfId="6" applyNumberFormat="1" applyFont="1" applyFill="1" applyBorder="1" applyAlignment="1" applyProtection="1">
      <alignment vertical="top"/>
    </xf>
    <xf numFmtId="0" fontId="7" fillId="0" borderId="3" xfId="0" applyFont="1" applyBorder="1" applyAlignment="1">
      <alignment vertical="top"/>
    </xf>
    <xf numFmtId="0" fontId="7" fillId="0" borderId="4" xfId="0" applyFont="1" applyBorder="1" applyAlignment="1">
      <alignment vertical="top"/>
    </xf>
    <xf numFmtId="164" fontId="11" fillId="5" borderId="52" xfId="1" applyNumberFormat="1" applyFont="1" applyFill="1" applyBorder="1" applyAlignment="1" applyProtection="1">
      <alignment horizontal="center" vertical="center"/>
    </xf>
    <xf numFmtId="0" fontId="9" fillId="7" borderId="53" xfId="0" applyFont="1" applyFill="1" applyBorder="1" applyAlignment="1">
      <alignment horizontal="center" vertical="top" wrapText="1"/>
    </xf>
    <xf numFmtId="0" fontId="9" fillId="7" borderId="52" xfId="0" applyFont="1" applyFill="1" applyBorder="1" applyAlignment="1">
      <alignment horizontal="center" vertical="center"/>
    </xf>
    <xf numFmtId="0" fontId="7" fillId="0" borderId="50" xfId="0" applyFont="1" applyBorder="1" applyAlignment="1">
      <alignment horizontal="centerContinuous" vertical="top" wrapText="1"/>
    </xf>
    <xf numFmtId="0" fontId="9" fillId="0" borderId="0" xfId="0" applyFont="1" applyAlignment="1">
      <alignment horizontal="center" vertical="top"/>
    </xf>
    <xf numFmtId="0" fontId="12" fillId="2" borderId="0" xfId="0" applyFont="1" applyFill="1" applyAlignment="1">
      <alignment vertical="top" wrapText="1"/>
    </xf>
    <xf numFmtId="0" fontId="9" fillId="2" borderId="0" xfId="0" applyFont="1" applyFill="1" applyAlignment="1">
      <alignment horizontal="center" vertical="center"/>
    </xf>
    <xf numFmtId="0" fontId="7" fillId="0" borderId="0" xfId="0" applyFont="1" applyAlignment="1">
      <alignment horizontal="right"/>
    </xf>
    <xf numFmtId="0" fontId="7" fillId="8" borderId="0" xfId="0" applyFont="1" applyFill="1" applyAlignment="1">
      <alignment horizontal="right"/>
    </xf>
    <xf numFmtId="0" fontId="7" fillId="17" borderId="0" xfId="0" applyFont="1" applyFill="1" applyAlignment="1">
      <alignment horizontal="right"/>
    </xf>
    <xf numFmtId="0" fontId="7" fillId="6" borderId="0" xfId="0" applyFont="1" applyFill="1" applyAlignment="1">
      <alignment horizontal="left" vertical="top"/>
    </xf>
    <xf numFmtId="167" fontId="7" fillId="6" borderId="0" xfId="0" quotePrefix="1" applyNumberFormat="1" applyFont="1" applyFill="1" applyAlignment="1">
      <alignment horizontal="left" vertical="top"/>
    </xf>
    <xf numFmtId="16" fontId="7" fillId="0" borderId="0" xfId="0" applyNumberFormat="1" applyFont="1"/>
    <xf numFmtId="0" fontId="9" fillId="7" borderId="52" xfId="0" applyFont="1" applyFill="1" applyBorder="1" applyAlignment="1">
      <alignment horizontal="center" vertical="center" wrapText="1"/>
    </xf>
    <xf numFmtId="0" fontId="8" fillId="0" borderId="37" xfId="0" applyFont="1" applyBorder="1" applyAlignment="1">
      <alignment horizontal="left" vertical="top" wrapText="1"/>
    </xf>
    <xf numFmtId="164" fontId="11" fillId="5" borderId="67" xfId="6" applyNumberFormat="1" applyFont="1" applyFill="1" applyBorder="1" applyAlignment="1" applyProtection="1">
      <alignment vertical="top"/>
    </xf>
    <xf numFmtId="0" fontId="11" fillId="4" borderId="56" xfId="1" applyNumberFormat="1" applyFont="1" applyFill="1" applyBorder="1" applyAlignment="1" applyProtection="1">
      <alignment vertical="center" wrapText="1"/>
      <protection locked="0"/>
    </xf>
    <xf numFmtId="0" fontId="43" fillId="0" borderId="0" xfId="0" applyFont="1"/>
    <xf numFmtId="49" fontId="7" fillId="0" borderId="0" xfId="0" quotePrefix="1" applyNumberFormat="1" applyFont="1" applyAlignment="1">
      <alignment vertical="top"/>
    </xf>
    <xf numFmtId="15" fontId="7" fillId="0" borderId="0" xfId="0" quotePrefix="1" applyNumberFormat="1" applyFont="1" applyAlignment="1">
      <alignment vertical="top"/>
    </xf>
    <xf numFmtId="15" fontId="7" fillId="0" borderId="0" xfId="0" quotePrefix="1" applyNumberFormat="1" applyFont="1" applyAlignment="1">
      <alignment vertical="top" wrapText="1"/>
    </xf>
    <xf numFmtId="0" fontId="45" fillId="2" borderId="0" xfId="0" applyFont="1" applyFill="1" applyAlignment="1">
      <alignment vertical="top" wrapText="1"/>
    </xf>
    <xf numFmtId="0" fontId="46" fillId="0" borderId="0" xfId="0" applyFont="1"/>
    <xf numFmtId="0" fontId="47" fillId="3" borderId="10" xfId="0" applyFont="1" applyFill="1" applyBorder="1"/>
    <xf numFmtId="164" fontId="47" fillId="3" borderId="10" xfId="6" applyNumberFormat="1" applyFont="1" applyFill="1" applyBorder="1"/>
    <xf numFmtId="164" fontId="47" fillId="3" borderId="10" xfId="6" applyNumberFormat="1" applyFont="1" applyFill="1" applyBorder="1" applyAlignment="1">
      <alignment horizontal="left"/>
    </xf>
    <xf numFmtId="164" fontId="47" fillId="3" borderId="27" xfId="6" applyNumberFormat="1" applyFont="1" applyFill="1" applyBorder="1"/>
    <xf numFmtId="0" fontId="47" fillId="3" borderId="10" xfId="0" applyFont="1" applyFill="1" applyBorder="1" applyAlignment="1">
      <alignment horizontal="center"/>
    </xf>
    <xf numFmtId="0" fontId="47" fillId="3" borderId="83" xfId="0" applyFont="1" applyFill="1" applyBorder="1" applyAlignment="1">
      <alignment horizontal="center"/>
    </xf>
    <xf numFmtId="0" fontId="47" fillId="3" borderId="84" xfId="0" applyFont="1" applyFill="1" applyBorder="1" applyAlignment="1">
      <alignment horizontal="center"/>
    </xf>
    <xf numFmtId="0" fontId="48" fillId="18" borderId="0" xfId="0" applyFont="1" applyFill="1"/>
    <xf numFmtId="0" fontId="48" fillId="19" borderId="0" xfId="0" applyFont="1" applyFill="1"/>
    <xf numFmtId="164" fontId="48" fillId="19" borderId="0" xfId="6" applyNumberFormat="1" applyFont="1" applyFill="1"/>
    <xf numFmtId="164" fontId="48" fillId="19" borderId="0" xfId="6" applyNumberFormat="1" applyFont="1" applyFill="1" applyBorder="1"/>
    <xf numFmtId="164" fontId="21" fillId="19" borderId="15" xfId="6" applyNumberFormat="1" applyFont="1" applyFill="1" applyBorder="1" applyAlignment="1"/>
    <xf numFmtId="1" fontId="21" fillId="18" borderId="0" xfId="0" applyNumberFormat="1" applyFont="1" applyFill="1" applyAlignment="1">
      <alignment horizontal="center"/>
    </xf>
    <xf numFmtId="1" fontId="21" fillId="18" borderId="85" xfId="0" applyNumberFormat="1" applyFont="1" applyFill="1" applyBorder="1" applyAlignment="1">
      <alignment horizontal="center"/>
    </xf>
    <xf numFmtId="164" fontId="14" fillId="0" borderId="0" xfId="6" applyNumberFormat="1" applyFont="1" applyFill="1"/>
    <xf numFmtId="164" fontId="14" fillId="0" borderId="0" xfId="6" applyNumberFormat="1" applyFont="1" applyFill="1" applyAlignment="1">
      <alignment horizontal="left"/>
    </xf>
    <xf numFmtId="164" fontId="14" fillId="0" borderId="15" xfId="6" applyNumberFormat="1" applyFont="1" applyFill="1" applyBorder="1"/>
    <xf numFmtId="1" fontId="14" fillId="18" borderId="0" xfId="0" applyNumberFormat="1" applyFont="1" applyFill="1" applyAlignment="1">
      <alignment horizontal="center"/>
    </xf>
    <xf numFmtId="1" fontId="14" fillId="18" borderId="15" xfId="0" applyNumberFormat="1" applyFont="1" applyFill="1" applyBorder="1" applyAlignment="1">
      <alignment horizontal="center"/>
    </xf>
    <xf numFmtId="0" fontId="14" fillId="15" borderId="0" xfId="0" applyFont="1" applyFill="1"/>
    <xf numFmtId="164" fontId="14" fillId="15" borderId="0" xfId="6" applyNumberFormat="1" applyFont="1" applyFill="1"/>
    <xf numFmtId="164" fontId="14" fillId="15" borderId="0" xfId="6" applyNumberFormat="1" applyFont="1" applyFill="1" applyAlignment="1">
      <alignment horizontal="left"/>
    </xf>
    <xf numFmtId="164" fontId="14" fillId="15" borderId="15" xfId="6" applyNumberFormat="1" applyFont="1" applyFill="1" applyBorder="1"/>
    <xf numFmtId="0" fontId="49" fillId="3" borderId="0" xfId="7" applyFont="1" applyFill="1" applyAlignment="1">
      <alignment wrapText="1"/>
    </xf>
    <xf numFmtId="0" fontId="50" fillId="3" borderId="0" xfId="7" applyFont="1" applyFill="1"/>
    <xf numFmtId="0" fontId="51" fillId="3" borderId="0" xfId="0" applyFont="1" applyFill="1"/>
    <xf numFmtId="0" fontId="49" fillId="3" borderId="0" xfId="7" applyFont="1" applyFill="1" applyAlignment="1">
      <alignment horizontal="center" wrapText="1"/>
    </xf>
    <xf numFmtId="165" fontId="52" fillId="3" borderId="14" xfId="8" applyNumberFormat="1" applyFont="1" applyFill="1" applyBorder="1" applyAlignment="1">
      <alignment horizontal="left" wrapText="1"/>
    </xf>
    <xf numFmtId="165" fontId="52" fillId="3" borderId="14" xfId="8" applyNumberFormat="1" applyFont="1" applyFill="1" applyBorder="1" applyAlignment="1">
      <alignment horizontal="center" wrapText="1"/>
    </xf>
    <xf numFmtId="165" fontId="52" fillId="3" borderId="86" xfId="8" applyNumberFormat="1" applyFont="1" applyFill="1" applyBorder="1" applyAlignment="1">
      <alignment horizontal="left" wrapText="1"/>
    </xf>
    <xf numFmtId="43" fontId="52" fillId="3" borderId="0" xfId="8" applyNumberFormat="1" applyFont="1" applyFill="1" applyAlignment="1">
      <alignment horizontal="left" wrapText="1"/>
    </xf>
    <xf numFmtId="43" fontId="52" fillId="3" borderId="14" xfId="8" applyNumberFormat="1" applyFont="1" applyFill="1" applyBorder="1" applyAlignment="1">
      <alignment horizontal="left" wrapText="1"/>
    </xf>
    <xf numFmtId="43" fontId="52" fillId="3" borderId="86" xfId="8" applyNumberFormat="1" applyFont="1" applyFill="1" applyBorder="1" applyAlignment="1">
      <alignment horizontal="left" wrapText="1"/>
    </xf>
    <xf numFmtId="0" fontId="52" fillId="3" borderId="14" xfId="8" applyFont="1" applyFill="1" applyBorder="1" applyAlignment="1">
      <alignment horizontal="left" wrapText="1"/>
    </xf>
    <xf numFmtId="0" fontId="52" fillId="3" borderId="86" xfId="8" applyFont="1" applyFill="1" applyBorder="1" applyAlignment="1">
      <alignment horizontal="left" wrapText="1"/>
    </xf>
    <xf numFmtId="165" fontId="52" fillId="3" borderId="14" xfId="6" applyNumberFormat="1" applyFont="1" applyFill="1" applyBorder="1" applyAlignment="1" applyProtection="1">
      <alignment horizontal="left" wrapText="1"/>
    </xf>
    <xf numFmtId="0" fontId="53" fillId="12" borderId="0" xfId="7" applyFont="1" applyFill="1"/>
    <xf numFmtId="0" fontId="53" fillId="12" borderId="0" xfId="7" quotePrefix="1" applyFont="1" applyFill="1"/>
    <xf numFmtId="0" fontId="53" fillId="20" borderId="0" xfId="7" quotePrefix="1" applyFont="1" applyFill="1"/>
    <xf numFmtId="0" fontId="54" fillId="20" borderId="0" xfId="7" applyFont="1" applyFill="1"/>
    <xf numFmtId="0" fontId="54" fillId="12" borderId="0" xfId="7" applyFont="1" applyFill="1"/>
    <xf numFmtId="0" fontId="53" fillId="12" borderId="0" xfId="7" applyFont="1" applyFill="1" applyAlignment="1">
      <alignment horizontal="left"/>
    </xf>
    <xf numFmtId="0" fontId="53" fillId="0" borderId="15" xfId="7" applyFont="1" applyBorder="1"/>
    <xf numFmtId="165" fontId="53" fillId="12" borderId="0" xfId="6" applyNumberFormat="1" applyFont="1" applyFill="1" applyBorder="1" applyAlignment="1">
      <alignment wrapText="1"/>
    </xf>
    <xf numFmtId="165" fontId="53" fillId="12" borderId="87" xfId="6" applyNumberFormat="1" applyFont="1" applyFill="1" applyBorder="1" applyAlignment="1">
      <alignment wrapText="1"/>
    </xf>
    <xf numFmtId="165" fontId="53" fillId="12" borderId="15" xfId="6" applyNumberFormat="1" applyFont="1" applyFill="1" applyBorder="1" applyAlignment="1">
      <alignment wrapText="1"/>
    </xf>
    <xf numFmtId="165" fontId="53" fillId="12" borderId="0" xfId="6" applyNumberFormat="1" applyFont="1" applyFill="1" applyBorder="1" applyAlignment="1" applyProtection="1">
      <alignment wrapText="1"/>
    </xf>
    <xf numFmtId="0" fontId="54" fillId="0" borderId="0" xfId="7" applyFont="1"/>
    <xf numFmtId="0" fontId="54" fillId="21" borderId="0" xfId="7" applyFont="1" applyFill="1"/>
    <xf numFmtId="0" fontId="54" fillId="0" borderId="0" xfId="7" applyFont="1" applyAlignment="1">
      <alignment horizontal="left"/>
    </xf>
    <xf numFmtId="0" fontId="54" fillId="0" borderId="15" xfId="7" applyFont="1" applyBorder="1"/>
    <xf numFmtId="165" fontId="54" fillId="0" borderId="0" xfId="6" applyNumberFormat="1" applyFont="1" applyFill="1" applyBorder="1" applyAlignment="1">
      <alignment wrapText="1"/>
    </xf>
    <xf numFmtId="165" fontId="54" fillId="0" borderId="87" xfId="6" applyNumberFormat="1" applyFont="1" applyFill="1" applyBorder="1" applyAlignment="1">
      <alignment wrapText="1"/>
    </xf>
    <xf numFmtId="165" fontId="54" fillId="0" borderId="15" xfId="6" applyNumberFormat="1" applyFont="1" applyFill="1" applyBorder="1" applyAlignment="1">
      <alignment wrapText="1"/>
    </xf>
    <xf numFmtId="165" fontId="54" fillId="0" borderId="0" xfId="6" applyNumberFormat="1" applyFont="1" applyFill="1" applyBorder="1" applyAlignment="1" applyProtection="1">
      <alignment wrapText="1"/>
    </xf>
    <xf numFmtId="165" fontId="54" fillId="0" borderId="15" xfId="6" applyNumberFormat="1" applyFont="1" applyFill="1" applyBorder="1" applyAlignment="1" applyProtection="1">
      <alignment wrapText="1"/>
    </xf>
    <xf numFmtId="164" fontId="14" fillId="0" borderId="0" xfId="6" applyNumberFormat="1" applyFont="1" applyFill="1" applyBorder="1"/>
    <xf numFmtId="164" fontId="14" fillId="0" borderId="0" xfId="6" applyNumberFormat="1" applyFont="1" applyFill="1" applyBorder="1" applyAlignment="1">
      <alignment horizontal="left"/>
    </xf>
    <xf numFmtId="1" fontId="14" fillId="0" borderId="0" xfId="0" applyNumberFormat="1" applyFont="1" applyAlignment="1">
      <alignment horizontal="center"/>
    </xf>
    <xf numFmtId="0" fontId="14" fillId="0" borderId="0" xfId="0" applyFont="1" applyAlignment="1">
      <alignment horizontal="center"/>
    </xf>
    <xf numFmtId="0" fontId="20" fillId="2" borderId="12" xfId="0" applyFont="1" applyFill="1" applyBorder="1"/>
    <xf numFmtId="0" fontId="24" fillId="2" borderId="13" xfId="0" applyFont="1" applyFill="1" applyBorder="1"/>
    <xf numFmtId="0" fontId="20" fillId="2" borderId="13" xfId="0" applyFont="1" applyFill="1" applyBorder="1"/>
    <xf numFmtId="0" fontId="20" fillId="2" borderId="88" xfId="0" applyFont="1" applyFill="1" applyBorder="1"/>
    <xf numFmtId="0" fontId="47" fillId="0" borderId="0" xfId="0" applyFont="1"/>
    <xf numFmtId="165" fontId="24" fillId="2" borderId="14" xfId="4" applyNumberFormat="1" applyFont="1" applyFill="1" applyBorder="1"/>
    <xf numFmtId="0" fontId="24" fillId="2" borderId="0" xfId="0" applyFont="1" applyFill="1"/>
    <xf numFmtId="0" fontId="20" fillId="2" borderId="0" xfId="0" applyFont="1" applyFill="1"/>
    <xf numFmtId="0" fontId="20" fillId="2" borderId="15" xfId="0" applyFont="1" applyFill="1" applyBorder="1"/>
    <xf numFmtId="0" fontId="48" fillId="0" borderId="0" xfId="0" applyFont="1"/>
    <xf numFmtId="0" fontId="21" fillId="2" borderId="0" xfId="0" applyFont="1" applyFill="1" applyAlignment="1">
      <alignment horizontal="center"/>
    </xf>
    <xf numFmtId="0" fontId="20" fillId="2" borderId="14" xfId="0" applyFont="1" applyFill="1" applyBorder="1"/>
    <xf numFmtId="0" fontId="55" fillId="0" borderId="0" xfId="0" applyFont="1"/>
    <xf numFmtId="0" fontId="22" fillId="2" borderId="0" xfId="0" applyFont="1" applyFill="1"/>
    <xf numFmtId="165" fontId="24" fillId="2" borderId="0" xfId="4" applyNumberFormat="1" applyFont="1" applyFill="1" applyBorder="1" applyAlignment="1">
      <alignment horizontal="centerContinuous"/>
    </xf>
    <xf numFmtId="165" fontId="24" fillId="2" borderId="0" xfId="4" applyNumberFormat="1" applyFont="1" applyFill="1" applyBorder="1" applyAlignment="1">
      <alignment horizontal="center"/>
    </xf>
    <xf numFmtId="6" fontId="22" fillId="2" borderId="0" xfId="3" quotePrefix="1" applyNumberFormat="1" applyFont="1" applyFill="1" applyAlignment="1">
      <alignment horizontal="left" indent="1"/>
    </xf>
    <xf numFmtId="0" fontId="20" fillId="2" borderId="0" xfId="3" applyFont="1" applyFill="1" applyAlignment="1">
      <alignment horizontal="left" indent="2"/>
    </xf>
    <xf numFmtId="168" fontId="20" fillId="18" borderId="0" xfId="4" applyNumberFormat="1" applyFont="1" applyFill="1" applyBorder="1" applyAlignment="1">
      <alignment horizontal="right"/>
    </xf>
    <xf numFmtId="168" fontId="20" fillId="2" borderId="0" xfId="4" applyNumberFormat="1" applyFont="1" applyFill="1" applyBorder="1"/>
    <xf numFmtId="0" fontId="56" fillId="2" borderId="14" xfId="0" applyFont="1" applyFill="1" applyBorder="1"/>
    <xf numFmtId="0" fontId="56" fillId="2" borderId="0" xfId="3" applyFont="1" applyFill="1" applyAlignment="1">
      <alignment horizontal="left" indent="1"/>
    </xf>
    <xf numFmtId="168" fontId="24" fillId="2" borderId="0" xfId="4" applyNumberFormat="1" applyFont="1" applyFill="1" applyBorder="1" applyAlignment="1">
      <alignment horizontal="right"/>
    </xf>
    <xf numFmtId="168" fontId="24" fillId="2" borderId="0" xfId="4" applyNumberFormat="1" applyFont="1" applyFill="1" applyBorder="1"/>
    <xf numFmtId="0" fontId="56" fillId="2" borderId="15" xfId="0" applyFont="1" applyFill="1" applyBorder="1"/>
    <xf numFmtId="0" fontId="56" fillId="0" borderId="0" xfId="0" applyFont="1"/>
    <xf numFmtId="168" fontId="20" fillId="2" borderId="0" xfId="4" applyNumberFormat="1" applyFont="1" applyFill="1" applyBorder="1" applyAlignment="1">
      <alignment horizontal="right"/>
    </xf>
    <xf numFmtId="0" fontId="20" fillId="2" borderId="0" xfId="4" quotePrefix="1" applyNumberFormat="1" applyFont="1" applyFill="1" applyBorder="1" applyAlignment="1">
      <alignment horizontal="left" indent="2"/>
    </xf>
    <xf numFmtId="0" fontId="24" fillId="2" borderId="0" xfId="3" quotePrefix="1" applyFont="1" applyFill="1" applyAlignment="1">
      <alignment horizontal="left" indent="1"/>
    </xf>
    <xf numFmtId="168" fontId="24" fillId="8" borderId="11" xfId="4" applyNumberFormat="1" applyFont="1" applyFill="1" applyBorder="1" applyAlignment="1">
      <alignment horizontal="right"/>
    </xf>
    <xf numFmtId="0" fontId="24" fillId="2" borderId="14" xfId="0" applyFont="1" applyFill="1" applyBorder="1"/>
    <xf numFmtId="0" fontId="22" fillId="2" borderId="0" xfId="0" quotePrefix="1" applyFont="1" applyFill="1" applyAlignment="1">
      <alignment horizontal="left" indent="1"/>
    </xf>
    <xf numFmtId="0" fontId="22" fillId="2" borderId="0" xfId="0" quotePrefix="1" applyFont="1" applyFill="1" applyAlignment="1">
      <alignment horizontal="right" indent="1"/>
    </xf>
    <xf numFmtId="0" fontId="20" fillId="2" borderId="0" xfId="4" applyNumberFormat="1" applyFont="1" applyFill="1" applyBorder="1" applyAlignment="1">
      <alignment horizontal="left" indent="2"/>
    </xf>
    <xf numFmtId="168" fontId="20" fillId="8" borderId="0" xfId="4" applyNumberFormat="1" applyFont="1" applyFill="1" applyBorder="1" applyAlignment="1">
      <alignment horizontal="right"/>
    </xf>
    <xf numFmtId="0" fontId="20" fillId="2" borderId="0" xfId="0" applyFont="1" applyFill="1" applyAlignment="1">
      <alignment horizontal="left" indent="1"/>
    </xf>
    <xf numFmtId="0" fontId="24" fillId="2" borderId="0" xfId="0" applyFont="1" applyFill="1" applyAlignment="1">
      <alignment horizontal="left" indent="2"/>
    </xf>
    <xf numFmtId="168" fontId="24" fillId="18" borderId="0" xfId="4" applyNumberFormat="1" applyFont="1" applyFill="1" applyBorder="1" applyAlignment="1">
      <alignment horizontal="right"/>
    </xf>
    <xf numFmtId="0" fontId="20" fillId="2" borderId="0" xfId="4" quotePrefix="1" applyNumberFormat="1" applyFont="1" applyFill="1" applyBorder="1" applyAlignment="1">
      <alignment horizontal="left" indent="3"/>
    </xf>
    <xf numFmtId="0" fontId="20" fillId="2" borderId="0" xfId="0" applyFont="1" applyFill="1" applyAlignment="1">
      <alignment horizontal="left" indent="3"/>
    </xf>
    <xf numFmtId="0" fontId="24" fillId="2" borderId="15" xfId="0" applyFont="1" applyFill="1" applyBorder="1"/>
    <xf numFmtId="0" fontId="24" fillId="0" borderId="0" xfId="0" applyFont="1"/>
    <xf numFmtId="0" fontId="20" fillId="2" borderId="0" xfId="0" applyFont="1" applyFill="1" applyAlignment="1">
      <alignment horizontal="left" wrapText="1" indent="3"/>
    </xf>
    <xf numFmtId="0" fontId="24" fillId="2" borderId="10" xfId="0" applyFont="1" applyFill="1" applyBorder="1"/>
    <xf numFmtId="0" fontId="20" fillId="2" borderId="0" xfId="0" applyFont="1" applyFill="1" applyAlignment="1">
      <alignment horizontal="left"/>
    </xf>
    <xf numFmtId="0" fontId="20" fillId="2" borderId="11" xfId="3" applyFont="1" applyFill="1" applyBorder="1" applyAlignment="1">
      <alignment horizontal="left"/>
    </xf>
    <xf numFmtId="0" fontId="20" fillId="2" borderId="0" xfId="3" applyFont="1" applyFill="1" applyAlignment="1">
      <alignment horizontal="left"/>
    </xf>
    <xf numFmtId="0" fontId="20" fillId="2" borderId="0" xfId="3" quotePrefix="1" applyFont="1" applyFill="1" applyAlignment="1">
      <alignment horizontal="left"/>
    </xf>
    <xf numFmtId="0" fontId="20" fillId="2" borderId="89" xfId="0" applyFont="1" applyFill="1" applyBorder="1"/>
    <xf numFmtId="0" fontId="20" fillId="2" borderId="16" xfId="0" applyFont="1" applyFill="1" applyBorder="1"/>
    <xf numFmtId="0" fontId="20" fillId="2" borderId="90" xfId="0" applyFont="1" applyFill="1" applyBorder="1"/>
    <xf numFmtId="0" fontId="55" fillId="2" borderId="0" xfId="0" applyFont="1" applyFill="1"/>
    <xf numFmtId="6" fontId="22" fillId="2" borderId="0" xfId="3" quotePrefix="1" applyNumberFormat="1" applyFont="1" applyFill="1"/>
    <xf numFmtId="0" fontId="24" fillId="2" borderId="0" xfId="0" applyFont="1" applyFill="1" applyAlignment="1">
      <alignment horizontal="left" indent="1"/>
    </xf>
    <xf numFmtId="0" fontId="20" fillId="2" borderId="0" xfId="0" applyFont="1" applyFill="1" applyAlignment="1">
      <alignment horizontal="left" indent="2"/>
    </xf>
    <xf numFmtId="0" fontId="24" fillId="2" borderId="16" xfId="0" applyFont="1" applyFill="1" applyBorder="1"/>
    <xf numFmtId="168" fontId="24" fillId="2" borderId="16" xfId="4" applyNumberFormat="1" applyFont="1" applyFill="1" applyBorder="1" applyAlignment="1">
      <alignment horizontal="right"/>
    </xf>
    <xf numFmtId="168" fontId="24" fillId="2" borderId="16" xfId="4" applyNumberFormat="1" applyFont="1" applyFill="1" applyBorder="1"/>
    <xf numFmtId="0" fontId="14" fillId="2" borderId="12" xfId="0" applyFont="1" applyFill="1" applyBorder="1"/>
    <xf numFmtId="0" fontId="14" fillId="2" borderId="13" xfId="0" applyFont="1" applyFill="1" applyBorder="1"/>
    <xf numFmtId="0" fontId="14" fillId="2" borderId="88" xfId="0" applyFont="1" applyFill="1" applyBorder="1"/>
    <xf numFmtId="0" fontId="14" fillId="2" borderId="14" xfId="0" applyFont="1" applyFill="1" applyBorder="1"/>
    <xf numFmtId="0" fontId="14" fillId="2" borderId="0" xfId="0" applyFont="1" applyFill="1"/>
    <xf numFmtId="0" fontId="57" fillId="2" borderId="0" xfId="0" applyFont="1" applyFill="1" applyAlignment="1">
      <alignment horizontal="center"/>
    </xf>
    <xf numFmtId="0" fontId="14" fillId="2" borderId="15" xfId="0" applyFont="1" applyFill="1" applyBorder="1"/>
    <xf numFmtId="165" fontId="24" fillId="2" borderId="14" xfId="6" applyNumberFormat="1" applyFont="1" applyFill="1" applyBorder="1"/>
    <xf numFmtId="0" fontId="55" fillId="2" borderId="0" xfId="0" applyFont="1" applyFill="1" applyAlignment="1">
      <alignment horizontal="left"/>
    </xf>
    <xf numFmtId="0" fontId="22" fillId="2" borderId="0" xfId="0" applyFont="1" applyFill="1" applyAlignment="1">
      <alignment horizontal="left"/>
    </xf>
    <xf numFmtId="0" fontId="23" fillId="2" borderId="0" xfId="0" applyFont="1" applyFill="1"/>
    <xf numFmtId="164" fontId="20" fillId="18" borderId="0" xfId="6" quotePrefix="1" applyNumberFormat="1" applyFont="1" applyFill="1" applyBorder="1" applyAlignment="1">
      <alignment horizontal="right" wrapText="1"/>
    </xf>
    <xf numFmtId="164" fontId="20" fillId="2" borderId="0" xfId="6" quotePrefix="1" applyNumberFormat="1" applyFont="1" applyFill="1" applyBorder="1" applyAlignment="1">
      <alignment horizontal="right" wrapText="1"/>
    </xf>
    <xf numFmtId="0" fontId="22" fillId="2" borderId="0" xfId="6" quotePrefix="1" applyNumberFormat="1" applyFont="1" applyFill="1" applyBorder="1" applyAlignment="1">
      <alignment horizontal="right" wrapText="1"/>
    </xf>
    <xf numFmtId="0" fontId="14" fillId="2" borderId="0" xfId="0" applyFont="1" applyFill="1" applyAlignment="1">
      <alignment horizontal="left" indent="3"/>
    </xf>
    <xf numFmtId="166" fontId="20" fillId="2" borderId="0" xfId="6" applyNumberFormat="1" applyFont="1" applyFill="1" applyBorder="1" applyAlignment="1">
      <alignment horizontal="right"/>
    </xf>
    <xf numFmtId="166" fontId="20" fillId="18" borderId="0" xfId="6" applyNumberFormat="1" applyFont="1" applyFill="1" applyBorder="1" applyAlignment="1">
      <alignment horizontal="right"/>
    </xf>
    <xf numFmtId="0" fontId="21" fillId="2" borderId="0" xfId="0" applyFont="1" applyFill="1" applyAlignment="1">
      <alignment horizontal="left" indent="1"/>
    </xf>
    <xf numFmtId="166" fontId="24" fillId="8" borderId="11" xfId="6" applyNumberFormat="1" applyFont="1" applyFill="1" applyBorder="1" applyAlignment="1">
      <alignment horizontal="right"/>
    </xf>
    <xf numFmtId="166" fontId="24" fillId="2" borderId="0" xfId="6" applyNumberFormat="1" applyFont="1" applyFill="1" applyBorder="1" applyAlignment="1">
      <alignment horizontal="right"/>
    </xf>
    <xf numFmtId="164" fontId="14" fillId="2" borderId="0" xfId="6" applyNumberFormat="1" applyFont="1" applyFill="1" applyBorder="1" applyAlignment="1">
      <alignment horizontal="right"/>
    </xf>
    <xf numFmtId="164" fontId="14" fillId="2" borderId="0" xfId="6" applyNumberFormat="1" applyFont="1" applyFill="1" applyBorder="1"/>
    <xf numFmtId="0" fontId="21" fillId="2" borderId="14" xfId="0" applyFont="1" applyFill="1" applyBorder="1"/>
    <xf numFmtId="0" fontId="21" fillId="2" borderId="15" xfId="0" applyFont="1" applyFill="1" applyBorder="1"/>
    <xf numFmtId="166" fontId="20" fillId="2" borderId="0" xfId="6" applyNumberFormat="1" applyFont="1" applyFill="1" applyBorder="1" applyAlignment="1">
      <alignment horizontal="right" vertical="top"/>
    </xf>
    <xf numFmtId="0" fontId="23" fillId="2" borderId="0" xfId="0" applyFont="1" applyFill="1" applyAlignment="1">
      <alignment horizontal="left" vertical="top" wrapText="1"/>
    </xf>
    <xf numFmtId="0" fontId="14" fillId="2" borderId="0" xfId="0" applyFont="1" applyFill="1" applyAlignment="1">
      <alignment horizontal="left" indent="1"/>
    </xf>
    <xf numFmtId="0" fontId="23" fillId="2" borderId="0" xfId="0" applyFont="1" applyFill="1" applyAlignment="1">
      <alignment horizontal="left" indent="1"/>
    </xf>
    <xf numFmtId="166" fontId="24" fillId="2" borderId="0" xfId="6" applyNumberFormat="1" applyFont="1" applyFill="1" applyBorder="1" applyAlignment="1">
      <alignment horizontal="center"/>
    </xf>
    <xf numFmtId="0" fontId="22" fillId="2" borderId="11" xfId="6" quotePrefix="1" applyNumberFormat="1" applyFont="1" applyFill="1" applyBorder="1" applyAlignment="1">
      <alignment horizontal="right" wrapText="1"/>
    </xf>
    <xf numFmtId="166" fontId="20" fillId="2" borderId="10" xfId="0" applyNumberFormat="1" applyFont="1" applyFill="1" applyBorder="1"/>
    <xf numFmtId="166" fontId="20" fillId="2" borderId="0" xfId="0" applyNumberFormat="1" applyFont="1" applyFill="1"/>
    <xf numFmtId="0" fontId="14" fillId="2" borderId="89" xfId="0" applyFont="1" applyFill="1" applyBorder="1"/>
    <xf numFmtId="0" fontId="14" fillId="2" borderId="16" xfId="0" applyFont="1" applyFill="1" applyBorder="1"/>
    <xf numFmtId="0" fontId="14" fillId="2" borderId="90" xfId="0" applyFont="1" applyFill="1" applyBorder="1"/>
    <xf numFmtId="164" fontId="0" fillId="0" borderId="0" xfId="6" applyNumberFormat="1" applyFont="1" applyFill="1" applyBorder="1"/>
    <xf numFmtId="0" fontId="47" fillId="0" borderId="0" xfId="0" applyFont="1" applyAlignment="1">
      <alignment horizontal="center"/>
    </xf>
    <xf numFmtId="164" fontId="48" fillId="0" borderId="0" xfId="6" applyNumberFormat="1" applyFont="1" applyFill="1" applyBorder="1"/>
    <xf numFmtId="164" fontId="21" fillId="0" borderId="0" xfId="6" applyNumberFormat="1" applyFont="1" applyFill="1" applyBorder="1" applyAlignment="1"/>
    <xf numFmtId="1" fontId="21" fillId="0" borderId="0" xfId="0" applyNumberFormat="1" applyFont="1" applyAlignment="1">
      <alignment horizontal="center"/>
    </xf>
    <xf numFmtId="0" fontId="21" fillId="0" borderId="0" xfId="0" applyFont="1" applyAlignment="1">
      <alignment horizontal="center"/>
    </xf>
    <xf numFmtId="0" fontId="24" fillId="2" borderId="13" xfId="0" applyFont="1" applyFill="1" applyBorder="1" applyAlignment="1">
      <alignment horizontal="left"/>
    </xf>
    <xf numFmtId="0" fontId="20" fillId="2" borderId="13" xfId="0" applyFont="1" applyFill="1" applyBorder="1" applyAlignment="1">
      <alignment horizontal="left"/>
    </xf>
    <xf numFmtId="0" fontId="24" fillId="2" borderId="0" xfId="0" applyFont="1" applyFill="1" applyAlignment="1">
      <alignment horizontal="left"/>
    </xf>
    <xf numFmtId="0" fontId="24" fillId="2" borderId="0" xfId="0" applyFont="1" applyFill="1" applyAlignment="1">
      <alignment horizontal="center"/>
    </xf>
    <xf numFmtId="166" fontId="24" fillId="2" borderId="0" xfId="0" applyNumberFormat="1" applyFont="1" applyFill="1" applyAlignment="1">
      <alignment horizontal="left"/>
    </xf>
    <xf numFmtId="166" fontId="24" fillId="2" borderId="0" xfId="0" applyNumberFormat="1" applyFont="1" applyFill="1" applyAlignment="1">
      <alignment horizontal="center"/>
    </xf>
    <xf numFmtId="166" fontId="22" fillId="2" borderId="0" xfId="0" applyNumberFormat="1" applyFont="1" applyFill="1"/>
    <xf numFmtId="1" fontId="22" fillId="2" borderId="0" xfId="4" applyNumberFormat="1" applyFont="1" applyFill="1" applyBorder="1" applyAlignment="1">
      <alignment horizontal="right" wrapText="1"/>
    </xf>
    <xf numFmtId="1" fontId="22" fillId="2" borderId="0" xfId="4" applyNumberFormat="1" applyFont="1" applyFill="1" applyBorder="1" applyAlignment="1">
      <alignment horizontal="left" wrapText="1" indent="3"/>
    </xf>
    <xf numFmtId="0" fontId="58" fillId="2" borderId="14" xfId="0" applyFont="1" applyFill="1" applyBorder="1"/>
    <xf numFmtId="166" fontId="59" fillId="2" borderId="0" xfId="0" applyNumberFormat="1" applyFont="1" applyFill="1"/>
    <xf numFmtId="1" fontId="59" fillId="2" borderId="0" xfId="4" applyNumberFormat="1" applyFont="1" applyFill="1" applyBorder="1" applyAlignment="1">
      <alignment horizontal="right" wrapText="1"/>
    </xf>
    <xf numFmtId="1" fontId="59" fillId="2" borderId="0" xfId="4" applyNumberFormat="1" applyFont="1" applyFill="1" applyBorder="1" applyAlignment="1">
      <alignment horizontal="left" wrapText="1" indent="3"/>
    </xf>
    <xf numFmtId="0" fontId="58" fillId="2" borderId="15" xfId="0" applyFont="1" applyFill="1" applyBorder="1"/>
    <xf numFmtId="0" fontId="58" fillId="0" borderId="0" xfId="0" applyFont="1"/>
    <xf numFmtId="0" fontId="20" fillId="8" borderId="0" xfId="0" applyFont="1" applyFill="1" applyAlignment="1">
      <alignment horizontal="left" indent="1"/>
    </xf>
    <xf numFmtId="43" fontId="20" fillId="8" borderId="0" xfId="1" applyFont="1" applyFill="1" applyBorder="1" applyAlignment="1">
      <alignment horizontal="right"/>
    </xf>
    <xf numFmtId="0" fontId="20" fillId="2" borderId="0" xfId="0" applyFont="1" applyFill="1" applyAlignment="1">
      <alignment horizontal="left" indent="4"/>
    </xf>
    <xf numFmtId="43" fontId="20" fillId="2" borderId="0" xfId="1" applyFont="1" applyFill="1" applyBorder="1" applyAlignment="1">
      <alignment horizontal="left" indent="4"/>
    </xf>
    <xf numFmtId="0" fontId="20" fillId="2" borderId="0" xfId="0" applyFont="1" applyFill="1" applyAlignment="1">
      <alignment horizontal="left" wrapText="1" indent="4"/>
    </xf>
    <xf numFmtId="0" fontId="20" fillId="2" borderId="0" xfId="0" applyFont="1" applyFill="1" applyAlignment="1">
      <alignment horizontal="left" wrapText="1" indent="1"/>
    </xf>
    <xf numFmtId="0" fontId="24" fillId="8" borderId="0" xfId="0" applyFont="1" applyFill="1"/>
    <xf numFmtId="43" fontId="24" fillId="8" borderId="11" xfId="1" applyFont="1" applyFill="1" applyBorder="1" applyAlignment="1">
      <alignment horizontal="right"/>
    </xf>
    <xf numFmtId="43" fontId="24" fillId="8" borderId="0" xfId="1" applyFont="1" applyFill="1" applyBorder="1" applyAlignment="1">
      <alignment horizontal="right"/>
    </xf>
    <xf numFmtId="43" fontId="24" fillId="2" borderId="0" xfId="1" applyFont="1" applyFill="1" applyBorder="1" applyAlignment="1">
      <alignment horizontal="left" indent="3"/>
    </xf>
    <xf numFmtId="166" fontId="20" fillId="2" borderId="11" xfId="0" applyNumberFormat="1" applyFont="1" applyFill="1" applyBorder="1"/>
    <xf numFmtId="0" fontId="20" fillId="18" borderId="0" xfId="0" applyFont="1" applyFill="1"/>
    <xf numFmtId="165" fontId="20" fillId="18" borderId="1" xfId="4" applyNumberFormat="1" applyFont="1" applyFill="1" applyBorder="1"/>
    <xf numFmtId="165" fontId="20" fillId="0" borderId="0" xfId="4" applyNumberFormat="1" applyFont="1" applyFill="1" applyBorder="1"/>
    <xf numFmtId="0" fontId="20" fillId="0" borderId="0" xfId="0" applyFont="1" applyAlignment="1">
      <alignment wrapText="1"/>
    </xf>
    <xf numFmtId="165" fontId="20" fillId="18" borderId="7" xfId="4" applyNumberFormat="1" applyFont="1" applyFill="1" applyBorder="1"/>
    <xf numFmtId="165" fontId="20" fillId="0" borderId="0" xfId="4" applyNumberFormat="1" applyFont="1" applyFill="1"/>
    <xf numFmtId="164" fontId="47" fillId="0" borderId="0" xfId="6" applyNumberFormat="1" applyFont="1" applyFill="1" applyBorder="1"/>
    <xf numFmtId="164" fontId="47" fillId="0" borderId="0" xfId="6" applyNumberFormat="1" applyFont="1" applyFill="1" applyBorder="1" applyAlignment="1">
      <alignment horizontal="left"/>
    </xf>
    <xf numFmtId="0" fontId="24" fillId="2" borderId="13" xfId="0" applyFont="1" applyFill="1" applyBorder="1" applyAlignment="1">
      <alignment horizontal="center"/>
    </xf>
    <xf numFmtId="0" fontId="24" fillId="2" borderId="0" xfId="0" applyFont="1" applyFill="1" applyAlignment="1">
      <alignment horizontal="center" wrapText="1"/>
    </xf>
    <xf numFmtId="0" fontId="58" fillId="2" borderId="0" xfId="0" applyFont="1" applyFill="1"/>
    <xf numFmtId="0" fontId="59" fillId="2" borderId="0" xfId="0" applyFont="1" applyFill="1"/>
    <xf numFmtId="0" fontId="20" fillId="18" borderId="0" xfId="0" applyFont="1" applyFill="1" applyAlignment="1">
      <alignment horizontal="left" indent="1"/>
    </xf>
    <xf numFmtId="0" fontId="20" fillId="18" borderId="0" xfId="0" applyFont="1" applyFill="1" applyAlignment="1">
      <alignment horizontal="center"/>
    </xf>
    <xf numFmtId="0" fontId="20" fillId="2" borderId="0" xfId="0" applyFont="1" applyFill="1" applyAlignment="1">
      <alignment horizontal="center"/>
    </xf>
    <xf numFmtId="0" fontId="20" fillId="2" borderId="10" xfId="0" applyFont="1" applyFill="1" applyBorder="1"/>
    <xf numFmtId="0" fontId="26" fillId="3" borderId="91" xfId="7" applyFont="1" applyFill="1" applyBorder="1"/>
    <xf numFmtId="0" fontId="50" fillId="3" borderId="0" xfId="7" applyFont="1" applyFill="1" applyAlignment="1">
      <alignment wrapText="1"/>
    </xf>
    <xf numFmtId="0" fontId="26" fillId="3" borderId="11" xfId="7" applyFont="1" applyFill="1" applyBorder="1" applyAlignment="1">
      <alignment wrapText="1"/>
    </xf>
    <xf numFmtId="0" fontId="26" fillId="3" borderId="85" xfId="7" applyFont="1" applyFill="1" applyBorder="1" applyAlignment="1">
      <alignment wrapText="1"/>
    </xf>
    <xf numFmtId="0" fontId="26" fillId="3" borderId="91" xfId="7" applyFont="1" applyFill="1" applyBorder="1" applyAlignment="1">
      <alignment wrapText="1"/>
    </xf>
    <xf numFmtId="0" fontId="21" fillId="18" borderId="0" xfId="7" applyFont="1" applyFill="1"/>
    <xf numFmtId="0" fontId="21" fillId="22" borderId="0" xfId="7" applyFont="1" applyFill="1"/>
    <xf numFmtId="0" fontId="21" fillId="23" borderId="0" xfId="7" applyFont="1" applyFill="1"/>
    <xf numFmtId="0" fontId="21" fillId="22" borderId="15" xfId="7" applyFont="1" applyFill="1" applyBorder="1"/>
    <xf numFmtId="164" fontId="21" fillId="18" borderId="0" xfId="5" applyNumberFormat="1" applyFont="1" applyFill="1"/>
    <xf numFmtId="164" fontId="21" fillId="18" borderId="14" xfId="5" applyNumberFormat="1" applyFont="1" applyFill="1" applyBorder="1"/>
    <xf numFmtId="164" fontId="21" fillId="22" borderId="14" xfId="5" applyNumberFormat="1" applyFont="1" applyFill="1" applyBorder="1"/>
    <xf numFmtId="164" fontId="21" fillId="22" borderId="0" xfId="5" applyNumberFormat="1" applyFont="1" applyFill="1"/>
    <xf numFmtId="164" fontId="21" fillId="22" borderId="15" xfId="5" applyNumberFormat="1" applyFont="1" applyFill="1" applyBorder="1"/>
    <xf numFmtId="0" fontId="14" fillId="0" borderId="0" xfId="7" applyFont="1"/>
    <xf numFmtId="0" fontId="14" fillId="24" borderId="0" xfId="7" applyFont="1" applyFill="1"/>
    <xf numFmtId="0" fontId="14" fillId="25" borderId="0" xfId="7" applyFont="1" applyFill="1"/>
    <xf numFmtId="0" fontId="14" fillId="0" borderId="15" xfId="7" applyFont="1" applyBorder="1"/>
    <xf numFmtId="164" fontId="14" fillId="18" borderId="0" xfId="5" applyNumberFormat="1" applyFont="1" applyFill="1"/>
    <xf numFmtId="164" fontId="14" fillId="18" borderId="14" xfId="5" applyNumberFormat="1" applyFont="1" applyFill="1" applyBorder="1"/>
    <xf numFmtId="164" fontId="14" fillId="0" borderId="14" xfId="5" applyNumberFormat="1" applyFont="1" applyFill="1" applyBorder="1"/>
    <xf numFmtId="164" fontId="14" fillId="0" borderId="0" xfId="5" applyNumberFormat="1" applyFont="1" applyFill="1"/>
    <xf numFmtId="164" fontId="14" fillId="0" borderId="15" xfId="5" applyNumberFormat="1" applyFont="1" applyFill="1" applyBorder="1"/>
    <xf numFmtId="0" fontId="14" fillId="4" borderId="0" xfId="7" applyFont="1" applyFill="1"/>
    <xf numFmtId="0" fontId="14" fillId="26" borderId="0" xfId="7" applyFont="1" applyFill="1"/>
    <xf numFmtId="0" fontId="14" fillId="4" borderId="15" xfId="7" applyFont="1" applyFill="1" applyBorder="1"/>
    <xf numFmtId="164" fontId="14" fillId="4" borderId="14" xfId="5" applyNumberFormat="1" applyFont="1" applyFill="1" applyBorder="1"/>
    <xf numFmtId="164" fontId="14" fillId="4" borderId="0" xfId="5" applyNumberFormat="1" applyFont="1" applyFill="1"/>
    <xf numFmtId="164" fontId="14" fillId="4" borderId="15" xfId="5" applyNumberFormat="1" applyFont="1" applyFill="1" applyBorder="1"/>
    <xf numFmtId="0" fontId="27" fillId="3" borderId="14" xfId="9" applyFont="1" applyFill="1" applyBorder="1"/>
    <xf numFmtId="0" fontId="27" fillId="3" borderId="15" xfId="8" quotePrefix="1" applyFont="1" applyFill="1" applyBorder="1" applyAlignment="1">
      <alignment horizontal="right"/>
    </xf>
    <xf numFmtId="0" fontId="20" fillId="18" borderId="0" xfId="0" applyFont="1" applyFill="1" applyAlignment="1">
      <alignment horizontal="left" vertical="top"/>
    </xf>
    <xf numFmtId="165" fontId="20" fillId="18" borderId="0" xfId="4" applyNumberFormat="1" applyFont="1" applyFill="1"/>
    <xf numFmtId="9" fontId="20" fillId="18" borderId="0" xfId="4" applyNumberFormat="1" applyFont="1" applyFill="1"/>
    <xf numFmtId="9" fontId="20" fillId="18" borderId="15" xfId="4" applyNumberFormat="1" applyFont="1" applyFill="1" applyBorder="1"/>
    <xf numFmtId="0" fontId="20" fillId="0" borderId="0" xfId="0" applyFont="1" applyAlignment="1">
      <alignment horizontal="left" vertical="top"/>
    </xf>
    <xf numFmtId="0" fontId="53" fillId="14" borderId="0" xfId="5" applyNumberFormat="1" applyFont="1" applyFill="1" applyAlignment="1" applyProtection="1">
      <alignment horizontal="left"/>
    </xf>
    <xf numFmtId="0" fontId="53" fillId="14" borderId="0" xfId="5" applyNumberFormat="1" applyFont="1" applyFill="1" applyAlignment="1" applyProtection="1">
      <alignment horizontal="left" wrapText="1"/>
    </xf>
    <xf numFmtId="0" fontId="60" fillId="3" borderId="0" xfId="0" applyFont="1" applyFill="1"/>
    <xf numFmtId="0" fontId="26" fillId="3" borderId="94" xfId="7" applyFont="1" applyFill="1" applyBorder="1" applyAlignment="1">
      <alignment wrapText="1"/>
    </xf>
    <xf numFmtId="0" fontId="26" fillId="3" borderId="0" xfId="7" applyFont="1" applyFill="1" applyAlignment="1">
      <alignment wrapText="1"/>
    </xf>
    <xf numFmtId="0" fontId="26" fillId="3" borderId="15" xfId="7" applyFont="1" applyFill="1" applyBorder="1" applyAlignment="1">
      <alignment wrapText="1"/>
    </xf>
    <xf numFmtId="0" fontId="24" fillId="18" borderId="0" xfId="7" applyFont="1" applyFill="1"/>
    <xf numFmtId="0" fontId="24" fillId="28" borderId="0" xfId="7" applyFont="1" applyFill="1"/>
    <xf numFmtId="0" fontId="54" fillId="29" borderId="0" xfId="7" applyFont="1" applyFill="1"/>
    <xf numFmtId="0" fontId="54" fillId="28" borderId="0" xfId="7" applyFont="1" applyFill="1"/>
    <xf numFmtId="0" fontId="24" fillId="28" borderId="0" xfId="7" applyFont="1" applyFill="1" applyAlignment="1">
      <alignment horizontal="center"/>
    </xf>
    <xf numFmtId="0" fontId="24" fillId="28" borderId="15" xfId="7" applyFont="1" applyFill="1" applyBorder="1"/>
    <xf numFmtId="164" fontId="24" fillId="18" borderId="0" xfId="5" applyNumberFormat="1" applyFont="1" applyFill="1" applyBorder="1" applyAlignment="1"/>
    <xf numFmtId="164" fontId="24" fillId="18" borderId="15" xfId="5" applyNumberFormat="1" applyFont="1" applyFill="1" applyBorder="1" applyAlignment="1"/>
    <xf numFmtId="164" fontId="21" fillId="28" borderId="0" xfId="5" applyNumberFormat="1" applyFont="1" applyFill="1" applyBorder="1"/>
    <xf numFmtId="164" fontId="21" fillId="28" borderId="15" xfId="5" applyNumberFormat="1" applyFont="1" applyFill="1" applyBorder="1"/>
    <xf numFmtId="0" fontId="20" fillId="0" borderId="0" xfId="7" applyFont="1"/>
    <xf numFmtId="0" fontId="54" fillId="25" borderId="0" xfId="7" applyFont="1" applyFill="1"/>
    <xf numFmtId="0" fontId="20" fillId="0" borderId="0" xfId="7" applyFont="1" applyAlignment="1">
      <alignment horizontal="center"/>
    </xf>
    <xf numFmtId="0" fontId="20" fillId="18" borderId="0" xfId="7" applyFont="1" applyFill="1"/>
    <xf numFmtId="0" fontId="20" fillId="0" borderId="15" xfId="7" applyFont="1" applyBorder="1"/>
    <xf numFmtId="164" fontId="20" fillId="18" borderId="0" xfId="5" applyNumberFormat="1" applyFont="1" applyFill="1" applyBorder="1" applyAlignment="1"/>
    <xf numFmtId="164" fontId="20" fillId="18" borderId="15" xfId="5" applyNumberFormat="1" applyFont="1" applyFill="1" applyBorder="1" applyAlignment="1"/>
    <xf numFmtId="164" fontId="14" fillId="0" borderId="0" xfId="5" applyNumberFormat="1" applyFont="1" applyFill="1" applyBorder="1"/>
    <xf numFmtId="0" fontId="20" fillId="27" borderId="0" xfId="7" applyFont="1" applyFill="1"/>
    <xf numFmtId="0" fontId="54" fillId="30" borderId="0" xfId="7" applyFont="1" applyFill="1"/>
    <xf numFmtId="0" fontId="54" fillId="27" borderId="0" xfId="7" applyFont="1" applyFill="1"/>
    <xf numFmtId="0" fontId="20" fillId="27" borderId="0" xfId="7" applyFont="1" applyFill="1" applyAlignment="1">
      <alignment horizontal="center"/>
    </xf>
    <xf numFmtId="0" fontId="20" fillId="27" borderId="15" xfId="7" applyFont="1" applyFill="1" applyBorder="1"/>
    <xf numFmtId="164" fontId="14" fillId="27" borderId="0" xfId="5" applyNumberFormat="1" applyFont="1" applyFill="1" applyBorder="1"/>
    <xf numFmtId="164" fontId="14" fillId="27" borderId="15" xfId="5" applyNumberFormat="1" applyFont="1" applyFill="1" applyBorder="1"/>
    <xf numFmtId="0" fontId="61" fillId="0" borderId="0" xfId="0" applyFont="1" applyAlignment="1">
      <alignment vertical="center"/>
    </xf>
    <xf numFmtId="165" fontId="11" fillId="5" borderId="67" xfId="6" applyNumberFormat="1" applyFont="1" applyFill="1" applyBorder="1" applyAlignment="1" applyProtection="1">
      <alignment vertical="top"/>
    </xf>
    <xf numFmtId="165" fontId="11" fillId="5" borderId="52" xfId="6" applyNumberFormat="1" applyFont="1" applyFill="1" applyBorder="1" applyAlignment="1" applyProtection="1">
      <alignment vertical="center"/>
    </xf>
    <xf numFmtId="165" fontId="11" fillId="5" borderId="57" xfId="6" applyNumberFormat="1" applyFont="1" applyFill="1" applyBorder="1" applyAlignment="1" applyProtection="1">
      <alignment vertical="center"/>
    </xf>
    <xf numFmtId="0" fontId="26" fillId="3" borderId="0" xfId="0" applyFont="1" applyFill="1"/>
    <xf numFmtId="0" fontId="62" fillId="0" borderId="0" xfId="0" applyFont="1"/>
    <xf numFmtId="49" fontId="14" fillId="0" borderId="0" xfId="0" applyNumberFormat="1" applyFont="1"/>
    <xf numFmtId="49" fontId="14" fillId="0" borderId="0" xfId="0" applyNumberFormat="1" applyFont="1" applyAlignment="1">
      <alignment horizontal="left"/>
    </xf>
    <xf numFmtId="0" fontId="8" fillId="0" borderId="37" xfId="0" applyFont="1" applyBorder="1" applyAlignment="1">
      <alignment horizontal="left" vertical="center" wrapText="1"/>
    </xf>
    <xf numFmtId="0" fontId="8" fillId="0" borderId="40" xfId="0" applyFont="1" applyBorder="1" applyAlignment="1">
      <alignment horizontal="left" vertical="center" wrapText="1"/>
    </xf>
    <xf numFmtId="0" fontId="8" fillId="0" borderId="38" xfId="0" applyFont="1" applyBorder="1" applyAlignment="1">
      <alignment horizontal="left" vertical="center" wrapText="1"/>
    </xf>
    <xf numFmtId="0" fontId="8" fillId="0" borderId="44" xfId="0" applyFont="1" applyBorder="1" applyAlignment="1">
      <alignment horizontal="left" vertical="center" wrapText="1"/>
    </xf>
    <xf numFmtId="0" fontId="8" fillId="0" borderId="47" xfId="0" applyFont="1" applyBorder="1" applyAlignment="1">
      <alignment horizontal="left" vertical="center" wrapText="1"/>
    </xf>
    <xf numFmtId="0" fontId="8" fillId="0" borderId="45" xfId="0" applyFont="1" applyBorder="1" applyAlignment="1">
      <alignment horizontal="left" vertical="center" wrapText="1"/>
    </xf>
    <xf numFmtId="0" fontId="11" fillId="4" borderId="39" xfId="1" applyNumberFormat="1" applyFont="1" applyFill="1" applyBorder="1" applyAlignment="1" applyProtection="1">
      <alignment horizontal="left" vertical="center" wrapText="1"/>
      <protection locked="0"/>
    </xf>
    <xf numFmtId="0" fontId="11" fillId="4" borderId="40" xfId="1" applyNumberFormat="1" applyFont="1" applyFill="1" applyBorder="1" applyAlignment="1" applyProtection="1">
      <alignment horizontal="left" vertical="center" wrapText="1"/>
      <protection locked="0"/>
    </xf>
    <xf numFmtId="0" fontId="11" fillId="4" borderId="41" xfId="1" applyNumberFormat="1" applyFont="1" applyFill="1" applyBorder="1" applyAlignment="1" applyProtection="1">
      <alignment horizontal="left" vertical="center" wrapText="1"/>
      <protection locked="0"/>
    </xf>
    <xf numFmtId="0" fontId="11" fillId="4" borderId="46" xfId="1" applyNumberFormat="1" applyFont="1" applyFill="1" applyBorder="1" applyAlignment="1" applyProtection="1">
      <alignment horizontal="left" vertical="center" wrapText="1"/>
      <protection locked="0"/>
    </xf>
    <xf numFmtId="0" fontId="11" fillId="4" borderId="47" xfId="1" applyNumberFormat="1" applyFont="1" applyFill="1" applyBorder="1" applyAlignment="1" applyProtection="1">
      <alignment horizontal="left" vertical="center" wrapText="1"/>
      <protection locked="0"/>
    </xf>
    <xf numFmtId="0" fontId="11" fillId="4" borderId="48" xfId="1" applyNumberFormat="1" applyFont="1" applyFill="1" applyBorder="1" applyAlignment="1" applyProtection="1">
      <alignment horizontal="left" vertical="center" wrapText="1"/>
      <protection locked="0"/>
    </xf>
    <xf numFmtId="0" fontId="6" fillId="3" borderId="1"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2" xfId="0" applyFont="1" applyFill="1" applyBorder="1" applyAlignment="1">
      <alignment horizontal="center" vertical="top" wrapText="1"/>
    </xf>
    <xf numFmtId="0" fontId="37" fillId="2" borderId="0" xfId="0" applyFont="1" applyFill="1" applyAlignment="1">
      <alignment horizontal="left" vertical="top" wrapText="1"/>
    </xf>
    <xf numFmtId="0" fontId="8" fillId="0" borderId="56" xfId="0" applyFont="1" applyBorder="1" applyAlignment="1">
      <alignment horizontal="left" vertical="center" wrapText="1"/>
    </xf>
    <xf numFmtId="0" fontId="8" fillId="0" borderId="52" xfId="0" applyFont="1" applyBorder="1" applyAlignment="1">
      <alignment horizontal="left" vertical="center" wrapText="1"/>
    </xf>
    <xf numFmtId="0" fontId="11" fillId="4" borderId="52" xfId="1" applyNumberFormat="1" applyFont="1" applyFill="1" applyBorder="1" applyAlignment="1" applyProtection="1">
      <alignment horizontal="left" vertical="center" wrapText="1"/>
      <protection locked="0"/>
    </xf>
    <xf numFmtId="0" fontId="11" fillId="4" borderId="57" xfId="1" applyNumberFormat="1" applyFont="1" applyFill="1" applyBorder="1" applyAlignment="1" applyProtection="1">
      <alignment horizontal="left" vertical="center" wrapText="1"/>
      <protection locked="0"/>
    </xf>
    <xf numFmtId="0" fontId="8" fillId="0" borderId="4" xfId="0" applyFont="1" applyBorder="1" applyAlignment="1">
      <alignment horizontal="right" vertical="center" wrapText="1" indent="1"/>
    </xf>
    <xf numFmtId="0" fontId="8" fillId="0" borderId="0" xfId="0" applyFont="1" applyAlignment="1">
      <alignment horizontal="right" vertical="center" wrapText="1" indent="1"/>
    </xf>
    <xf numFmtId="0" fontId="7" fillId="0" borderId="0" xfId="0" applyFont="1" applyAlignment="1">
      <alignment horizontal="left" vertical="center" wrapText="1" indent="1"/>
    </xf>
    <xf numFmtId="0" fontId="7" fillId="0" borderId="3" xfId="0" applyFont="1" applyBorder="1" applyAlignment="1">
      <alignment horizontal="left" vertical="center" wrapText="1" indent="1"/>
    </xf>
    <xf numFmtId="0" fontId="7" fillId="4" borderId="53" xfId="0" applyFont="1" applyFill="1" applyBorder="1" applyAlignment="1" applyProtection="1">
      <alignment horizontal="center" vertical="center" wrapText="1"/>
      <protection locked="0"/>
    </xf>
    <xf numFmtId="0" fontId="7" fillId="4" borderId="54" xfId="0" applyFont="1" applyFill="1" applyBorder="1" applyAlignment="1" applyProtection="1">
      <alignment horizontal="center" vertical="center" wrapText="1"/>
      <protection locked="0"/>
    </xf>
    <xf numFmtId="0" fontId="8" fillId="7" borderId="39" xfId="0" applyFont="1" applyFill="1" applyBorder="1" applyAlignment="1">
      <alignment horizontal="left" vertical="center" wrapText="1"/>
    </xf>
    <xf numFmtId="0" fontId="8" fillId="7" borderId="40" xfId="0" applyFont="1" applyFill="1" applyBorder="1" applyAlignment="1">
      <alignment horizontal="left" vertical="center" wrapText="1"/>
    </xf>
    <xf numFmtId="0" fontId="8" fillId="7" borderId="38" xfId="0" applyFont="1" applyFill="1" applyBorder="1" applyAlignment="1">
      <alignment horizontal="left" vertical="center" wrapText="1"/>
    </xf>
    <xf numFmtId="0" fontId="8" fillId="7" borderId="43" xfId="0" applyFont="1" applyFill="1" applyBorder="1" applyAlignment="1">
      <alignment horizontal="left" vertical="center" wrapText="1"/>
    </xf>
    <xf numFmtId="0" fontId="8" fillId="7" borderId="0" xfId="0" applyFont="1" applyFill="1" applyAlignment="1">
      <alignment horizontal="left" vertical="center" wrapText="1"/>
    </xf>
    <xf numFmtId="0" fontId="8" fillId="7" borderId="42" xfId="0" applyFont="1" applyFill="1" applyBorder="1" applyAlignment="1">
      <alignment horizontal="left" vertical="center" wrapText="1"/>
    </xf>
    <xf numFmtId="0" fontId="8" fillId="7" borderId="46" xfId="0" applyFont="1" applyFill="1" applyBorder="1" applyAlignment="1">
      <alignment horizontal="left" vertical="center" wrapText="1"/>
    </xf>
    <xf numFmtId="0" fontId="8" fillId="7" borderId="47" xfId="0" applyFont="1" applyFill="1" applyBorder="1" applyAlignment="1">
      <alignment horizontal="left" vertical="center" wrapText="1"/>
    </xf>
    <xf numFmtId="0" fontId="8" fillId="7" borderId="45" xfId="0" applyFont="1" applyFill="1" applyBorder="1" applyAlignment="1">
      <alignment horizontal="left" vertical="center" wrapText="1"/>
    </xf>
    <xf numFmtId="0" fontId="11" fillId="4" borderId="52" xfId="1" applyNumberFormat="1" applyFont="1" applyFill="1" applyBorder="1" applyAlignment="1" applyProtection="1">
      <alignment horizontal="center" vertical="center" wrapText="1"/>
      <protection locked="0"/>
    </xf>
    <xf numFmtId="0" fontId="11" fillId="7" borderId="52" xfId="1" applyNumberFormat="1" applyFont="1" applyFill="1" applyBorder="1" applyAlignment="1" applyProtection="1">
      <alignment horizontal="left" vertical="center" wrapText="1" indent="2"/>
    </xf>
    <xf numFmtId="0" fontId="11" fillId="7" borderId="57" xfId="1" applyNumberFormat="1" applyFont="1" applyFill="1" applyBorder="1" applyAlignment="1" applyProtection="1">
      <alignment horizontal="left" vertical="center" wrapText="1" indent="2"/>
    </xf>
    <xf numFmtId="0" fontId="8" fillId="0" borderId="4" xfId="0" applyFont="1" applyBorder="1" applyAlignment="1">
      <alignment horizontal="left" vertical="top" wrapText="1"/>
    </xf>
    <xf numFmtId="0" fontId="8" fillId="0" borderId="0" xfId="0" applyFont="1" applyAlignment="1">
      <alignment horizontal="left" vertical="top" wrapText="1"/>
    </xf>
    <xf numFmtId="0" fontId="8" fillId="0" borderId="3" xfId="0" applyFont="1" applyBorder="1" applyAlignment="1">
      <alignment horizontal="left" vertical="top" wrapText="1"/>
    </xf>
    <xf numFmtId="0" fontId="9" fillId="7" borderId="52" xfId="0" applyFont="1" applyFill="1" applyBorder="1" applyAlignment="1">
      <alignment horizontal="center" vertical="top" wrapText="1"/>
    </xf>
    <xf numFmtId="0" fontId="10" fillId="7" borderId="52" xfId="1" applyNumberFormat="1" applyFont="1" applyFill="1" applyBorder="1" applyAlignment="1" applyProtection="1">
      <alignment horizontal="center" vertical="top" wrapText="1"/>
    </xf>
    <xf numFmtId="0" fontId="10" fillId="7" borderId="57" xfId="1" applyNumberFormat="1" applyFont="1" applyFill="1" applyBorder="1" applyAlignment="1" applyProtection="1">
      <alignment horizontal="center" vertical="top" wrapText="1"/>
    </xf>
    <xf numFmtId="0" fontId="6" fillId="3" borderId="5" xfId="0" applyFont="1" applyFill="1" applyBorder="1" applyAlignment="1">
      <alignment horizontal="center" vertical="top"/>
    </xf>
    <xf numFmtId="0" fontId="6" fillId="3" borderId="9" xfId="0" applyFont="1" applyFill="1" applyBorder="1" applyAlignment="1">
      <alignment horizontal="center" vertical="top"/>
    </xf>
    <xf numFmtId="0" fontId="6" fillId="3" borderId="6" xfId="0" applyFont="1" applyFill="1" applyBorder="1" applyAlignment="1">
      <alignment horizontal="center" vertical="top"/>
    </xf>
    <xf numFmtId="14" fontId="11" fillId="4" borderId="52" xfId="1" applyNumberFormat="1" applyFont="1" applyFill="1" applyBorder="1" applyAlignment="1" applyProtection="1">
      <alignment horizontal="left" vertical="center" wrapText="1"/>
      <protection locked="0"/>
    </xf>
    <xf numFmtId="0" fontId="8" fillId="0" borderId="58" xfId="0" applyFont="1" applyBorder="1" applyAlignment="1">
      <alignment horizontal="left" vertical="center" wrapText="1"/>
    </xf>
    <xf numFmtId="0" fontId="8" fillId="0" borderId="53" xfId="0" applyFont="1" applyBorder="1" applyAlignment="1">
      <alignment horizontal="left" vertical="center" wrapText="1"/>
    </xf>
    <xf numFmtId="0" fontId="8" fillId="0" borderId="60" xfId="0" applyFont="1" applyBorder="1" applyAlignment="1">
      <alignment horizontal="left" vertical="center" wrapText="1"/>
    </xf>
    <xf numFmtId="0" fontId="8" fillId="0" borderId="61" xfId="0" applyFont="1" applyBorder="1" applyAlignment="1">
      <alignment horizontal="left" vertical="center" wrapText="1"/>
    </xf>
    <xf numFmtId="0" fontId="8" fillId="0" borderId="63" xfId="0" applyFont="1" applyBorder="1" applyAlignment="1">
      <alignment horizontal="left" vertical="center" wrapText="1"/>
    </xf>
    <xf numFmtId="0" fontId="8" fillId="0" borderId="54" xfId="0" applyFont="1" applyBorder="1" applyAlignment="1">
      <alignment horizontal="left" vertical="center" wrapText="1"/>
    </xf>
    <xf numFmtId="0" fontId="11" fillId="4" borderId="53" xfId="1" applyNumberFormat="1" applyFont="1" applyFill="1" applyBorder="1" applyAlignment="1" applyProtection="1">
      <alignment horizontal="left" vertical="center" wrapText="1"/>
      <protection locked="0"/>
    </xf>
    <xf numFmtId="0" fontId="11" fillId="4" borderId="59" xfId="1" applyNumberFormat="1" applyFont="1" applyFill="1" applyBorder="1" applyAlignment="1" applyProtection="1">
      <alignment horizontal="left" vertical="center" wrapText="1"/>
      <protection locked="0"/>
    </xf>
    <xf numFmtId="0" fontId="11" fillId="4" borderId="61" xfId="1" applyNumberFormat="1" applyFont="1" applyFill="1" applyBorder="1" applyAlignment="1" applyProtection="1">
      <alignment horizontal="left" vertical="center" wrapText="1"/>
      <protection locked="0"/>
    </xf>
    <xf numFmtId="0" fontId="11" fillId="4" borderId="62" xfId="1" applyNumberFormat="1" applyFont="1" applyFill="1" applyBorder="1" applyAlignment="1" applyProtection="1">
      <alignment horizontal="left" vertical="center" wrapText="1"/>
      <protection locked="0"/>
    </xf>
    <xf numFmtId="0" fontId="11" fillId="4" borderId="54" xfId="1" applyNumberFormat="1" applyFont="1" applyFill="1" applyBorder="1" applyAlignment="1" applyProtection="1">
      <alignment horizontal="left" vertical="center" wrapText="1"/>
      <protection locked="0"/>
    </xf>
    <xf numFmtId="0" fontId="11" fillId="4" borderId="64" xfId="1" applyNumberFormat="1" applyFont="1" applyFill="1" applyBorder="1" applyAlignment="1" applyProtection="1">
      <alignment horizontal="left" vertical="center" wrapText="1"/>
      <protection locked="0"/>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3" xfId="0" applyFont="1" applyBorder="1" applyAlignment="1">
      <alignment horizontal="left" vertical="center" wrapText="1"/>
    </xf>
    <xf numFmtId="0" fontId="31" fillId="7" borderId="39" xfId="0" applyFont="1" applyFill="1" applyBorder="1" applyAlignment="1">
      <alignment horizontal="center" vertical="center"/>
    </xf>
    <xf numFmtId="0" fontId="31" fillId="7" borderId="40" xfId="0" applyFont="1" applyFill="1" applyBorder="1" applyAlignment="1">
      <alignment horizontal="center" vertical="center"/>
    </xf>
    <xf numFmtId="0" fontId="31" fillId="7" borderId="38" xfId="0" applyFont="1" applyFill="1" applyBorder="1" applyAlignment="1">
      <alignment horizontal="center" vertical="center"/>
    </xf>
    <xf numFmtId="0" fontId="31" fillId="7" borderId="46" xfId="0" applyFont="1" applyFill="1" applyBorder="1" applyAlignment="1">
      <alignment horizontal="center" vertical="center"/>
    </xf>
    <xf numFmtId="0" fontId="31" fillId="7" borderId="47" xfId="0" applyFont="1" applyFill="1" applyBorder="1" applyAlignment="1">
      <alignment horizontal="center" vertical="center"/>
    </xf>
    <xf numFmtId="0" fontId="31" fillId="7" borderId="45" xfId="0" applyFont="1" applyFill="1" applyBorder="1" applyAlignment="1">
      <alignment horizontal="center" vertical="center"/>
    </xf>
    <xf numFmtId="0" fontId="11" fillId="4" borderId="4" xfId="1" applyNumberFormat="1" applyFont="1" applyFill="1" applyBorder="1" applyAlignment="1" applyProtection="1">
      <alignment horizontal="left" vertical="top" wrapText="1"/>
      <protection locked="0"/>
    </xf>
    <xf numFmtId="0" fontId="11" fillId="4" borderId="0" xfId="1" applyNumberFormat="1" applyFont="1" applyFill="1" applyBorder="1" applyAlignment="1" applyProtection="1">
      <alignment horizontal="left" vertical="top" wrapText="1"/>
      <protection locked="0"/>
    </xf>
    <xf numFmtId="0" fontId="11" fillId="4" borderId="3" xfId="1" applyNumberFormat="1" applyFont="1" applyFill="1" applyBorder="1" applyAlignment="1" applyProtection="1">
      <alignment horizontal="left" vertical="top" wrapText="1"/>
      <protection locked="0"/>
    </xf>
    <xf numFmtId="0" fontId="8" fillId="0" borderId="4" xfId="0" applyFont="1" applyBorder="1" applyAlignment="1">
      <alignment horizontal="left" vertical="top" wrapText="1" indent="1"/>
    </xf>
    <xf numFmtId="0" fontId="8" fillId="0" borderId="0" xfId="0" applyFont="1" applyAlignment="1">
      <alignment horizontal="left" vertical="top" wrapText="1" indent="1"/>
    </xf>
    <xf numFmtId="0" fontId="8" fillId="0" borderId="3" xfId="0" applyFont="1" applyBorder="1" applyAlignment="1">
      <alignment horizontal="left" vertical="top" wrapText="1" indent="1"/>
    </xf>
    <xf numFmtId="0" fontId="6" fillId="3" borderId="1" xfId="0" applyFont="1" applyFill="1" applyBorder="1" applyAlignment="1">
      <alignment horizontal="center" vertical="top"/>
    </xf>
    <xf numFmtId="0" fontId="6" fillId="3" borderId="11" xfId="0" applyFont="1" applyFill="1" applyBorder="1" applyAlignment="1">
      <alignment horizontal="center" vertical="top"/>
    </xf>
    <xf numFmtId="0" fontId="6" fillId="3" borderId="2" xfId="0" applyFont="1" applyFill="1" applyBorder="1" applyAlignment="1">
      <alignment horizontal="center" vertical="top"/>
    </xf>
    <xf numFmtId="0" fontId="6" fillId="3" borderId="4" xfId="0" applyFont="1" applyFill="1" applyBorder="1" applyAlignment="1">
      <alignment horizontal="center" vertical="top"/>
    </xf>
    <xf numFmtId="0" fontId="6" fillId="3" borderId="0" xfId="0" applyFont="1" applyFill="1" applyAlignment="1">
      <alignment horizontal="center" vertical="top"/>
    </xf>
    <xf numFmtId="0" fontId="6" fillId="3" borderId="3" xfId="0" applyFont="1" applyFill="1" applyBorder="1" applyAlignment="1">
      <alignment horizontal="center" vertical="top"/>
    </xf>
    <xf numFmtId="0" fontId="7" fillId="0" borderId="0" xfId="0" applyFont="1" applyAlignment="1">
      <alignment horizontal="left" vertical="top" wrapText="1"/>
    </xf>
    <xf numFmtId="0" fontId="7" fillId="0" borderId="3" xfId="0" applyFont="1" applyBorder="1" applyAlignment="1">
      <alignment horizontal="left" vertical="top" wrapText="1"/>
    </xf>
    <xf numFmtId="0" fontId="6" fillId="3" borderId="7" xfId="0" applyFont="1" applyFill="1" applyBorder="1" applyAlignment="1">
      <alignment horizontal="center" vertical="top"/>
    </xf>
    <xf numFmtId="0" fontId="6" fillId="3" borderId="10" xfId="0" applyFont="1" applyFill="1" applyBorder="1" applyAlignment="1">
      <alignment horizontal="center" vertical="top"/>
    </xf>
    <xf numFmtId="0" fontId="6" fillId="3" borderId="8" xfId="0" applyFont="1" applyFill="1" applyBorder="1" applyAlignment="1">
      <alignment horizontal="center" vertical="top"/>
    </xf>
    <xf numFmtId="0" fontId="13" fillId="0" borderId="4" xfId="0" applyFont="1" applyBorder="1" applyAlignment="1">
      <alignment horizontal="right" vertical="center" wrapText="1" indent="1"/>
    </xf>
    <xf numFmtId="0" fontId="13" fillId="0" borderId="0" xfId="0" applyFont="1" applyAlignment="1">
      <alignment horizontal="right" vertical="center" wrapText="1" indent="1"/>
    </xf>
    <xf numFmtId="0" fontId="8" fillId="7" borderId="56" xfId="0" applyFont="1" applyFill="1" applyBorder="1" applyAlignment="1">
      <alignment horizontal="center" vertical="top" wrapText="1"/>
    </xf>
    <xf numFmtId="0" fontId="8" fillId="7" borderId="52" xfId="0" applyFont="1" applyFill="1" applyBorder="1" applyAlignment="1">
      <alignment horizontal="center" vertical="top" wrapText="1"/>
    </xf>
    <xf numFmtId="0" fontId="19" fillId="0" borderId="4"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3" xfId="0" applyFont="1" applyBorder="1" applyAlignment="1" applyProtection="1">
      <alignment horizontal="left" vertical="top" wrapText="1"/>
      <protection locked="0"/>
    </xf>
    <xf numFmtId="0" fontId="8" fillId="7" borderId="57" xfId="0" applyFont="1" applyFill="1" applyBorder="1" applyAlignment="1">
      <alignment horizontal="center" vertical="top" wrapText="1"/>
    </xf>
    <xf numFmtId="0" fontId="35" fillId="15" borderId="0" xfId="0" applyFont="1" applyFill="1" applyAlignment="1">
      <alignment horizontal="center" vertical="top"/>
    </xf>
    <xf numFmtId="0" fontId="35" fillId="15" borderId="0" xfId="0" applyFont="1" applyFill="1" applyAlignment="1">
      <alignment horizontal="center" vertical="top" wrapText="1"/>
    </xf>
    <xf numFmtId="0" fontId="7" fillId="0" borderId="4" xfId="0" applyFont="1" applyBorder="1" applyAlignment="1">
      <alignment vertical="center" wrapText="1"/>
    </xf>
    <xf numFmtId="0" fontId="7" fillId="0" borderId="0" xfId="0" applyFont="1" applyAlignment="1">
      <alignment vertical="center" wrapText="1"/>
    </xf>
    <xf numFmtId="15" fontId="13" fillId="7" borderId="39" xfId="0" applyNumberFormat="1" applyFont="1" applyFill="1" applyBorder="1" applyAlignment="1">
      <alignment horizontal="center" vertical="center" wrapText="1"/>
    </xf>
    <xf numFmtId="15" fontId="13" fillId="7" borderId="40" xfId="0" applyNumberFormat="1" applyFont="1" applyFill="1" applyBorder="1" applyAlignment="1">
      <alignment horizontal="center" vertical="center" wrapText="1"/>
    </xf>
    <xf numFmtId="15" fontId="13" fillId="7" borderId="38" xfId="0" applyNumberFormat="1" applyFont="1" applyFill="1" applyBorder="1" applyAlignment="1">
      <alignment horizontal="center" vertical="center" wrapText="1"/>
    </xf>
    <xf numFmtId="15" fontId="13" fillId="7" borderId="43" xfId="0" applyNumberFormat="1" applyFont="1" applyFill="1" applyBorder="1" applyAlignment="1">
      <alignment horizontal="center" vertical="center" wrapText="1"/>
    </xf>
    <xf numFmtId="15" fontId="13" fillId="7" borderId="0" xfId="0" applyNumberFormat="1" applyFont="1" applyFill="1" applyAlignment="1">
      <alignment horizontal="center" vertical="center" wrapText="1"/>
    </xf>
    <xf numFmtId="15" fontId="13" fillId="7" borderId="42" xfId="0" applyNumberFormat="1" applyFont="1" applyFill="1" applyBorder="1" applyAlignment="1">
      <alignment horizontal="center" vertical="center" wrapText="1"/>
    </xf>
    <xf numFmtId="15" fontId="13" fillId="7" borderId="46" xfId="0" applyNumberFormat="1" applyFont="1" applyFill="1" applyBorder="1" applyAlignment="1">
      <alignment horizontal="center" vertical="center" wrapText="1"/>
    </xf>
    <xf numFmtId="15" fontId="13" fillId="7" borderId="47" xfId="0" applyNumberFormat="1" applyFont="1" applyFill="1" applyBorder="1" applyAlignment="1">
      <alignment horizontal="center" vertical="center" wrapText="1"/>
    </xf>
    <xf numFmtId="15" fontId="13" fillId="7" borderId="45" xfId="0" applyNumberFormat="1" applyFont="1" applyFill="1" applyBorder="1" applyAlignment="1">
      <alignment horizontal="center" vertical="center" wrapText="1"/>
    </xf>
    <xf numFmtId="0" fontId="40" fillId="0" borderId="4" xfId="0" applyFont="1" applyBorder="1" applyAlignment="1" applyProtection="1">
      <alignment horizontal="left" vertical="top" wrapText="1"/>
      <protection locked="0"/>
    </xf>
    <xf numFmtId="0" fontId="40" fillId="0" borderId="0" xfId="0" applyFont="1" applyAlignment="1" applyProtection="1">
      <alignment horizontal="left" vertical="top" wrapText="1"/>
      <protection locked="0"/>
    </xf>
    <xf numFmtId="0" fontId="40" fillId="0" borderId="3" xfId="0" applyFont="1" applyBorder="1" applyAlignment="1" applyProtection="1">
      <alignment horizontal="left" vertical="top" wrapText="1"/>
      <protection locked="0"/>
    </xf>
    <xf numFmtId="0" fontId="8" fillId="0" borderId="39" xfId="0" applyFont="1" applyBorder="1" applyAlignment="1">
      <alignment horizontal="left" vertical="center" wrapText="1"/>
    </xf>
    <xf numFmtId="0" fontId="8" fillId="0" borderId="41" xfId="0" applyFont="1" applyBorder="1" applyAlignment="1">
      <alignment horizontal="left" vertical="center" wrapText="1"/>
    </xf>
    <xf numFmtId="0" fontId="8" fillId="0" borderId="43" xfId="0" applyFont="1" applyBorder="1" applyAlignment="1">
      <alignment horizontal="left" vertical="center" wrapText="1"/>
    </xf>
    <xf numFmtId="0" fontId="13" fillId="0" borderId="37" xfId="0" applyFont="1" applyBorder="1" applyAlignment="1">
      <alignment horizontal="left" vertical="center" wrapText="1"/>
    </xf>
    <xf numFmtId="0" fontId="13" fillId="0" borderId="38" xfId="0" applyFont="1" applyBorder="1" applyAlignment="1">
      <alignment horizontal="left" vertical="center" wrapText="1"/>
    </xf>
    <xf numFmtId="0" fontId="13" fillId="0" borderId="4" xfId="0" applyFont="1" applyBorder="1" applyAlignment="1">
      <alignment horizontal="left" vertical="center" wrapText="1"/>
    </xf>
    <xf numFmtId="0" fontId="13" fillId="0" borderId="42" xfId="0" applyFont="1" applyBorder="1" applyAlignment="1">
      <alignment horizontal="left" vertical="center" wrapText="1"/>
    </xf>
    <xf numFmtId="0" fontId="13" fillId="0" borderId="44" xfId="0" applyFont="1" applyBorder="1" applyAlignment="1">
      <alignment horizontal="left" vertical="center" wrapText="1"/>
    </xf>
    <xf numFmtId="0" fontId="13" fillId="0" borderId="45" xfId="0" applyFont="1" applyBorder="1" applyAlignment="1">
      <alignment horizontal="left" vertical="center" wrapText="1"/>
    </xf>
    <xf numFmtId="0" fontId="8" fillId="0" borderId="46" xfId="0" applyFont="1" applyBorder="1" applyAlignment="1">
      <alignment horizontal="left" vertical="center" wrapText="1"/>
    </xf>
    <xf numFmtId="0" fontId="8" fillId="0" borderId="48" xfId="0" applyFont="1" applyBorder="1" applyAlignment="1">
      <alignment horizontal="left" vertical="center" wrapText="1"/>
    </xf>
    <xf numFmtId="0" fontId="13" fillId="0" borderId="58" xfId="0" applyFont="1" applyBorder="1" applyAlignment="1">
      <alignment horizontal="left" vertical="center" wrapText="1"/>
    </xf>
    <xf numFmtId="0" fontId="13" fillId="0" borderId="53" xfId="0" applyFont="1" applyBorder="1" applyAlignment="1">
      <alignment horizontal="left" vertical="center" wrapText="1"/>
    </xf>
    <xf numFmtId="0" fontId="13" fillId="0" borderId="60" xfId="0" applyFont="1" applyBorder="1" applyAlignment="1">
      <alignment horizontal="left" vertical="center" wrapText="1"/>
    </xf>
    <xf numFmtId="0" fontId="13" fillId="0" borderId="61" xfId="0" applyFont="1" applyBorder="1" applyAlignment="1">
      <alignment horizontal="left" vertical="center" wrapText="1"/>
    </xf>
    <xf numFmtId="0" fontId="13" fillId="0" borderId="72" xfId="0" applyFont="1" applyBorder="1" applyAlignment="1">
      <alignment horizontal="left" vertical="center" wrapText="1"/>
    </xf>
    <xf numFmtId="0" fontId="13" fillId="0" borderId="65" xfId="0" applyFont="1" applyBorder="1" applyAlignment="1">
      <alignment horizontal="left" vertical="center" wrapText="1"/>
    </xf>
    <xf numFmtId="0" fontId="8" fillId="0" borderId="59" xfId="0" applyFont="1" applyBorder="1" applyAlignment="1">
      <alignment horizontal="left" vertical="center" wrapText="1"/>
    </xf>
    <xf numFmtId="0" fontId="8" fillId="0" borderId="62" xfId="0" applyFont="1" applyBorder="1" applyAlignment="1">
      <alignment horizontal="left" vertical="center" wrapText="1"/>
    </xf>
    <xf numFmtId="0" fontId="8" fillId="0" borderId="65" xfId="0" applyFont="1" applyBorder="1" applyAlignment="1">
      <alignment horizontal="left" vertical="center" wrapText="1"/>
    </xf>
    <xf numFmtId="0" fontId="8" fillId="0" borderId="73" xfId="0" applyFont="1" applyBorder="1" applyAlignment="1">
      <alignment horizontal="left" vertical="center" wrapText="1"/>
    </xf>
    <xf numFmtId="0" fontId="7" fillId="4" borderId="4"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3" xfId="0" applyFont="1" applyFill="1" applyBorder="1" applyAlignment="1" applyProtection="1">
      <alignment horizontal="left" vertical="top" wrapText="1"/>
      <protection locked="0"/>
    </xf>
    <xf numFmtId="0" fontId="8" fillId="0" borderId="4" xfId="0" applyFont="1" applyBorder="1" applyAlignment="1">
      <alignment vertical="top" wrapText="1"/>
    </xf>
    <xf numFmtId="0" fontId="8" fillId="0" borderId="0" xfId="0" applyFont="1" applyAlignment="1">
      <alignment vertical="top" wrapText="1"/>
    </xf>
    <xf numFmtId="0" fontId="8" fillId="0" borderId="3" xfId="0" applyFont="1" applyBorder="1" applyAlignment="1">
      <alignment vertical="top" wrapText="1"/>
    </xf>
    <xf numFmtId="0" fontId="13" fillId="6" borderId="1" xfId="0" applyFont="1" applyFill="1" applyBorder="1" applyAlignment="1">
      <alignment horizontal="center" vertical="top" wrapText="1"/>
    </xf>
    <xf numFmtId="0" fontId="13" fillId="6" borderId="11" xfId="0" applyFont="1" applyFill="1" applyBorder="1" applyAlignment="1">
      <alignment horizontal="center" vertical="top" wrapText="1"/>
    </xf>
    <xf numFmtId="0" fontId="13" fillId="6" borderId="2" xfId="0" applyFont="1" applyFill="1" applyBorder="1" applyAlignment="1">
      <alignment horizontal="center" vertical="top" wrapText="1"/>
    </xf>
    <xf numFmtId="0" fontId="13" fillId="6" borderId="4" xfId="0" applyFont="1" applyFill="1" applyBorder="1" applyAlignment="1">
      <alignment horizontal="center" vertical="top" wrapText="1"/>
    </xf>
    <xf numFmtId="0" fontId="13" fillId="6" borderId="0" xfId="0" applyFont="1" applyFill="1" applyAlignment="1">
      <alignment horizontal="center" vertical="top" wrapText="1"/>
    </xf>
    <xf numFmtId="0" fontId="13" fillId="6" borderId="3" xfId="0" applyFont="1" applyFill="1" applyBorder="1" applyAlignment="1">
      <alignment horizontal="center" vertical="top" wrapText="1"/>
    </xf>
    <xf numFmtId="0" fontId="8" fillId="0" borderId="71" xfId="0" applyFont="1" applyBorder="1" applyAlignment="1">
      <alignment horizontal="left" vertical="top" wrapText="1"/>
    </xf>
    <xf numFmtId="0" fontId="8" fillId="0" borderId="50" xfId="0" applyFont="1" applyBorder="1" applyAlignment="1">
      <alignment horizontal="left" vertical="top" wrapText="1"/>
    </xf>
    <xf numFmtId="0" fontId="8" fillId="0" borderId="51" xfId="0" applyFont="1" applyBorder="1" applyAlignment="1">
      <alignment horizontal="left" vertical="top" wrapText="1"/>
    </xf>
    <xf numFmtId="0" fontId="8" fillId="7" borderId="52" xfId="0" applyFont="1" applyFill="1" applyBorder="1" applyAlignment="1">
      <alignment horizontal="left" vertical="top" wrapText="1"/>
    </xf>
    <xf numFmtId="0" fontId="8" fillId="7" borderId="57" xfId="0" applyFont="1" applyFill="1" applyBorder="1" applyAlignment="1">
      <alignment horizontal="left" vertical="top" wrapText="1"/>
    </xf>
    <xf numFmtId="0" fontId="7" fillId="0" borderId="4" xfId="0" applyFont="1" applyBorder="1" applyAlignment="1">
      <alignment horizontal="right" vertical="center" indent="1"/>
    </xf>
    <xf numFmtId="0" fontId="7" fillId="0" borderId="3" xfId="0" applyFont="1" applyBorder="1" applyAlignment="1">
      <alignment horizontal="right" vertical="center" indent="1"/>
    </xf>
    <xf numFmtId="0" fontId="9" fillId="2" borderId="56" xfId="0" applyFont="1" applyFill="1" applyBorder="1" applyAlignment="1">
      <alignment horizontal="center" vertical="center"/>
    </xf>
    <xf numFmtId="0" fontId="11" fillId="4" borderId="51" xfId="1" applyNumberFormat="1" applyFont="1" applyFill="1" applyBorder="1" applyAlignment="1" applyProtection="1">
      <alignment horizontal="left" vertical="center" wrapText="1"/>
      <protection locked="0"/>
    </xf>
    <xf numFmtId="0" fontId="8" fillId="0" borderId="4" xfId="0" applyFont="1" applyBorder="1" applyAlignment="1">
      <alignment horizontal="right" vertical="top" wrapText="1" indent="1"/>
    </xf>
    <xf numFmtId="0" fontId="8" fillId="0" borderId="0" xfId="0" applyFont="1" applyAlignment="1">
      <alignment horizontal="right" vertical="top" wrapText="1" indent="1"/>
    </xf>
    <xf numFmtId="0" fontId="11" fillId="4" borderId="49" xfId="1" applyNumberFormat="1" applyFont="1" applyFill="1" applyBorder="1" applyAlignment="1" applyProtection="1">
      <alignment horizontal="left" vertical="top" wrapText="1"/>
      <protection locked="0"/>
    </xf>
    <xf numFmtId="0" fontId="11" fillId="4" borderId="50" xfId="1" applyNumberFormat="1" applyFont="1" applyFill="1" applyBorder="1" applyAlignment="1" applyProtection="1">
      <alignment horizontal="left" vertical="top" wrapText="1"/>
      <protection locked="0"/>
    </xf>
    <xf numFmtId="0" fontId="11" fillId="4" borderId="70" xfId="1" applyNumberFormat="1" applyFont="1" applyFill="1" applyBorder="1" applyAlignment="1" applyProtection="1">
      <alignment horizontal="left" vertical="top" wrapText="1"/>
      <protection locked="0"/>
    </xf>
    <xf numFmtId="0" fontId="13" fillId="7" borderId="52" xfId="0" applyFont="1" applyFill="1" applyBorder="1" applyAlignment="1">
      <alignment horizontal="center" vertical="center" wrapText="1"/>
    </xf>
    <xf numFmtId="0" fontId="13" fillId="7" borderId="57" xfId="0" applyFont="1" applyFill="1" applyBorder="1" applyAlignment="1">
      <alignment horizontal="center" vertical="center" wrapText="1"/>
    </xf>
    <xf numFmtId="0" fontId="6" fillId="3" borderId="4" xfId="0" applyFont="1" applyFill="1" applyBorder="1" applyAlignment="1">
      <alignment horizontal="left" vertical="top" wrapText="1"/>
    </xf>
    <xf numFmtId="0" fontId="6" fillId="3" borderId="0" xfId="0" applyFont="1" applyFill="1" applyAlignment="1">
      <alignment horizontal="left" vertical="top" wrapText="1"/>
    </xf>
    <xf numFmtId="0" fontId="6" fillId="3" borderId="3" xfId="0" applyFont="1" applyFill="1" applyBorder="1" applyAlignment="1">
      <alignment horizontal="left" vertical="top" wrapText="1"/>
    </xf>
    <xf numFmtId="0" fontId="6" fillId="3" borderId="7"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8" xfId="0" applyFont="1" applyFill="1" applyBorder="1" applyAlignment="1">
      <alignment horizontal="left" vertical="top" wrapText="1"/>
    </xf>
    <xf numFmtId="0" fontId="7" fillId="2" borderId="7" xfId="0" applyFont="1" applyFill="1" applyBorder="1" applyAlignment="1">
      <alignment horizontal="center" vertical="top" wrapText="1"/>
    </xf>
    <xf numFmtId="0" fontId="7" fillId="2" borderId="10" xfId="0" applyFont="1" applyFill="1" applyBorder="1" applyAlignment="1">
      <alignment horizontal="center" vertical="top" wrapText="1"/>
    </xf>
    <xf numFmtId="0" fontId="7" fillId="2" borderId="8" xfId="0" applyFont="1" applyFill="1" applyBorder="1" applyAlignment="1">
      <alignment horizontal="center" vertical="top" wrapText="1"/>
    </xf>
    <xf numFmtId="0" fontId="36" fillId="16" borderId="1" xfId="0" applyFont="1" applyFill="1" applyBorder="1" applyAlignment="1">
      <alignment horizontal="center" vertical="top" wrapText="1"/>
    </xf>
    <xf numFmtId="0" fontId="36" fillId="16" borderId="11" xfId="0" applyFont="1" applyFill="1" applyBorder="1" applyAlignment="1">
      <alignment horizontal="center" vertical="top" wrapText="1"/>
    </xf>
    <xf numFmtId="0" fontId="7" fillId="0" borderId="11" xfId="0" applyFont="1" applyBorder="1" applyAlignment="1">
      <alignment vertical="top" wrapText="1"/>
    </xf>
    <xf numFmtId="0" fontId="7" fillId="0" borderId="2" xfId="0" applyFont="1" applyBorder="1" applyAlignment="1">
      <alignment vertical="top" wrapText="1"/>
    </xf>
    <xf numFmtId="0" fontId="11" fillId="4" borderId="39" xfId="1" applyNumberFormat="1" applyFont="1" applyFill="1" applyBorder="1" applyAlignment="1" applyProtection="1">
      <alignment horizontal="center" vertical="center" wrapText="1"/>
      <protection locked="0"/>
    </xf>
    <xf numFmtId="0" fontId="11" fillId="4" borderId="43" xfId="1" applyNumberFormat="1" applyFont="1" applyFill="1" applyBorder="1" applyAlignment="1" applyProtection="1">
      <alignment horizontal="center" vertical="center" wrapText="1"/>
      <protection locked="0"/>
    </xf>
    <xf numFmtId="0" fontId="11" fillId="4" borderId="46" xfId="1" applyNumberFormat="1" applyFont="1" applyFill="1" applyBorder="1" applyAlignment="1" applyProtection="1">
      <alignment horizontal="center" vertical="center" wrapText="1"/>
      <protection locked="0"/>
    </xf>
    <xf numFmtId="0" fontId="11" fillId="4" borderId="53" xfId="1" applyNumberFormat="1" applyFont="1" applyFill="1" applyBorder="1" applyAlignment="1" applyProtection="1">
      <alignment horizontal="center" vertical="center" wrapText="1"/>
      <protection locked="0"/>
    </xf>
    <xf numFmtId="0" fontId="11" fillId="4" borderId="61" xfId="1" applyNumberFormat="1" applyFont="1" applyFill="1" applyBorder="1" applyAlignment="1" applyProtection="1">
      <alignment horizontal="center" vertical="center" wrapText="1"/>
      <protection locked="0"/>
    </xf>
    <xf numFmtId="0" fontId="11" fillId="4" borderId="54" xfId="1" applyNumberFormat="1" applyFont="1" applyFill="1" applyBorder="1" applyAlignment="1" applyProtection="1">
      <alignment horizontal="center" vertical="center" wrapText="1"/>
      <protection locked="0"/>
    </xf>
    <xf numFmtId="0" fontId="11" fillId="4" borderId="38" xfId="1" applyNumberFormat="1" applyFont="1" applyFill="1" applyBorder="1" applyAlignment="1" applyProtection="1">
      <alignment horizontal="center" vertical="center" wrapText="1"/>
      <protection locked="0"/>
    </xf>
    <xf numFmtId="0" fontId="11" fillId="4" borderId="42" xfId="1" applyNumberFormat="1" applyFont="1" applyFill="1" applyBorder="1" applyAlignment="1" applyProtection="1">
      <alignment horizontal="center" vertical="center" wrapText="1"/>
      <protection locked="0"/>
    </xf>
    <xf numFmtId="0" fontId="11" fillId="4" borderId="45" xfId="1" applyNumberFormat="1" applyFont="1" applyFill="1" applyBorder="1" applyAlignment="1" applyProtection="1">
      <alignment horizontal="center" vertical="center" wrapText="1"/>
      <protection locked="0"/>
    </xf>
    <xf numFmtId="0" fontId="11" fillId="4" borderId="59" xfId="1" applyNumberFormat="1" applyFont="1" applyFill="1" applyBorder="1" applyAlignment="1" applyProtection="1">
      <alignment horizontal="center" vertical="center" wrapText="1"/>
      <protection locked="0"/>
    </xf>
    <xf numFmtId="0" fontId="11" fillId="4" borderId="62" xfId="1" applyNumberFormat="1" applyFont="1" applyFill="1" applyBorder="1" applyAlignment="1" applyProtection="1">
      <alignment horizontal="center" vertical="center" wrapText="1"/>
      <protection locked="0"/>
    </xf>
    <xf numFmtId="0" fontId="11" fillId="4" borderId="64" xfId="1" applyNumberFormat="1" applyFont="1" applyFill="1" applyBorder="1" applyAlignment="1" applyProtection="1">
      <alignment horizontal="center" vertical="center" wrapText="1"/>
      <protection locked="0"/>
    </xf>
    <xf numFmtId="49" fontId="11" fillId="4" borderId="58" xfId="1" applyNumberFormat="1" applyFont="1" applyFill="1" applyBorder="1" applyAlignment="1" applyProtection="1">
      <alignment horizontal="center" vertical="center" wrapText="1"/>
      <protection locked="0"/>
    </xf>
    <xf numFmtId="49" fontId="11" fillId="4" borderId="60" xfId="1" applyNumberFormat="1" applyFont="1" applyFill="1" applyBorder="1" applyAlignment="1" applyProtection="1">
      <alignment horizontal="center" vertical="center" wrapText="1"/>
      <protection locked="0"/>
    </xf>
    <xf numFmtId="49" fontId="11" fillId="4" borderId="63" xfId="1" applyNumberFormat="1" applyFont="1" applyFill="1" applyBorder="1" applyAlignment="1" applyProtection="1">
      <alignment horizontal="center" vertical="center" wrapText="1"/>
      <protection locked="0"/>
    </xf>
    <xf numFmtId="49" fontId="11" fillId="4" borderId="53" xfId="1" applyNumberFormat="1" applyFont="1" applyFill="1" applyBorder="1" applyAlignment="1" applyProtection="1">
      <alignment horizontal="center" vertical="center" wrapText="1"/>
      <protection locked="0"/>
    </xf>
    <xf numFmtId="49" fontId="11" fillId="4" borderId="61" xfId="1" applyNumberFormat="1" applyFont="1" applyFill="1" applyBorder="1" applyAlignment="1" applyProtection="1">
      <alignment horizontal="center" vertical="center" wrapText="1"/>
      <protection locked="0"/>
    </xf>
    <xf numFmtId="49" fontId="11" fillId="4" borderId="54" xfId="1" applyNumberFormat="1" applyFont="1" applyFill="1" applyBorder="1" applyAlignment="1" applyProtection="1">
      <alignment horizontal="center" vertical="center" wrapText="1"/>
      <protection locked="0"/>
    </xf>
    <xf numFmtId="0" fontId="36" fillId="16" borderId="2" xfId="0" applyFont="1" applyFill="1" applyBorder="1" applyAlignment="1">
      <alignment horizontal="center" vertical="top" wrapText="1"/>
    </xf>
    <xf numFmtId="0" fontId="6" fillId="3" borderId="0" xfId="0" applyFont="1" applyFill="1" applyAlignment="1">
      <alignment horizontal="left" vertical="center" wrapText="1"/>
    </xf>
    <xf numFmtId="0" fontId="38" fillId="3" borderId="9" xfId="0" applyFont="1" applyFill="1" applyBorder="1" applyAlignment="1">
      <alignment horizontal="center" vertical="top" wrapText="1"/>
    </xf>
    <xf numFmtId="0" fontId="38" fillId="3" borderId="6" xfId="0" applyFont="1" applyFill="1" applyBorder="1" applyAlignment="1">
      <alignment horizontal="center" vertical="top" wrapText="1"/>
    </xf>
    <xf numFmtId="0" fontId="5" fillId="2" borderId="4" xfId="0" applyFont="1" applyFill="1" applyBorder="1" applyAlignment="1">
      <alignment horizontal="left" vertical="top" wrapText="1"/>
    </xf>
    <xf numFmtId="0" fontId="5" fillId="2" borderId="0" xfId="0" applyFont="1" applyFill="1" applyAlignment="1">
      <alignment horizontal="left" vertical="top" wrapText="1"/>
    </xf>
    <xf numFmtId="0" fontId="5" fillId="2" borderId="3" xfId="0" applyFont="1" applyFill="1" applyBorder="1" applyAlignment="1">
      <alignment horizontal="left" vertical="top" wrapText="1"/>
    </xf>
    <xf numFmtId="0" fontId="36" fillId="7" borderId="52" xfId="0" applyFont="1" applyFill="1" applyBorder="1" applyAlignment="1">
      <alignment horizontal="center" vertical="center" wrapText="1"/>
    </xf>
    <xf numFmtId="0" fontId="36" fillId="7" borderId="58" xfId="0" applyFont="1" applyFill="1" applyBorder="1" applyAlignment="1">
      <alignment horizontal="center" vertical="center" wrapText="1"/>
    </xf>
    <xf numFmtId="0" fontId="36" fillId="7" borderId="60" xfId="0" applyFont="1" applyFill="1" applyBorder="1" applyAlignment="1">
      <alignment horizontal="center" vertical="center" wrapText="1"/>
    </xf>
    <xf numFmtId="0" fontId="36" fillId="7" borderId="63" xfId="0" applyFont="1" applyFill="1" applyBorder="1" applyAlignment="1">
      <alignment horizontal="center" vertical="center" wrapText="1"/>
    </xf>
    <xf numFmtId="0" fontId="36" fillId="7" borderId="53" xfId="0" applyFont="1" applyFill="1" applyBorder="1" applyAlignment="1">
      <alignment horizontal="center" vertical="center" wrapText="1"/>
    </xf>
    <xf numFmtId="0" fontId="36" fillId="7" borderId="61" xfId="0" applyFont="1" applyFill="1" applyBorder="1" applyAlignment="1">
      <alignment horizontal="center" vertical="center" wrapText="1"/>
    </xf>
    <xf numFmtId="0" fontId="36" fillId="7" borderId="54" xfId="0" applyFont="1" applyFill="1" applyBorder="1" applyAlignment="1">
      <alignment horizontal="center" vertical="center" wrapText="1"/>
    </xf>
    <xf numFmtId="0" fontId="36" fillId="7" borderId="59" xfId="0" applyFont="1" applyFill="1" applyBorder="1" applyAlignment="1">
      <alignment horizontal="center" vertical="center" wrapText="1"/>
    </xf>
    <xf numFmtId="0" fontId="36" fillId="7" borderId="62" xfId="0" applyFont="1" applyFill="1" applyBorder="1" applyAlignment="1">
      <alignment horizontal="center" vertical="center" wrapText="1"/>
    </xf>
    <xf numFmtId="0" fontId="36" fillId="7" borderId="64" xfId="0" applyFont="1" applyFill="1" applyBorder="1" applyAlignment="1">
      <alignment horizontal="center" vertical="center" wrapText="1"/>
    </xf>
    <xf numFmtId="0" fontId="36" fillId="7" borderId="39" xfId="0" applyFont="1" applyFill="1" applyBorder="1" applyAlignment="1">
      <alignment horizontal="center" vertical="center" wrapText="1"/>
    </xf>
    <xf numFmtId="0" fontId="36" fillId="7" borderId="38" xfId="0" applyFont="1" applyFill="1" applyBorder="1" applyAlignment="1">
      <alignment horizontal="center" vertical="center" wrapText="1"/>
    </xf>
    <xf numFmtId="0" fontId="36" fillId="7" borderId="43" xfId="0" applyFont="1" applyFill="1" applyBorder="1" applyAlignment="1">
      <alignment horizontal="center" vertical="center" wrapText="1"/>
    </xf>
    <xf numFmtId="0" fontId="36" fillId="7" borderId="42" xfId="0" applyFont="1" applyFill="1" applyBorder="1" applyAlignment="1">
      <alignment horizontal="center" vertical="center" wrapText="1"/>
    </xf>
    <xf numFmtId="0" fontId="36" fillId="7" borderId="46" xfId="0" applyFont="1" applyFill="1" applyBorder="1" applyAlignment="1">
      <alignment horizontal="center" vertical="center" wrapText="1"/>
    </xf>
    <xf numFmtId="0" fontId="36" fillId="7" borderId="45" xfId="0" applyFont="1" applyFill="1" applyBorder="1" applyAlignment="1">
      <alignment horizontal="center" vertical="center" wrapText="1"/>
    </xf>
    <xf numFmtId="0" fontId="11" fillId="4" borderId="39" xfId="1" applyNumberFormat="1" applyFont="1" applyFill="1" applyBorder="1" applyAlignment="1" applyProtection="1">
      <alignment horizontal="left" vertical="top" wrapText="1"/>
      <protection locked="0"/>
    </xf>
    <xf numFmtId="0" fontId="11" fillId="4" borderId="40" xfId="1" applyNumberFormat="1" applyFont="1" applyFill="1" applyBorder="1" applyAlignment="1" applyProtection="1">
      <alignment horizontal="left" vertical="top" wrapText="1"/>
      <protection locked="0"/>
    </xf>
    <xf numFmtId="0" fontId="11" fillId="4" borderId="41" xfId="1" applyNumberFormat="1" applyFont="1" applyFill="1" applyBorder="1" applyAlignment="1" applyProtection="1">
      <alignment horizontal="left" vertical="top" wrapText="1"/>
      <protection locked="0"/>
    </xf>
    <xf numFmtId="0" fontId="11" fillId="4" borderId="43" xfId="1" applyNumberFormat="1" applyFont="1" applyFill="1" applyBorder="1" applyAlignment="1" applyProtection="1">
      <alignment horizontal="left" vertical="top" wrapText="1"/>
      <protection locked="0"/>
    </xf>
    <xf numFmtId="0" fontId="11" fillId="4" borderId="46" xfId="1" applyNumberFormat="1" applyFont="1" applyFill="1" applyBorder="1" applyAlignment="1" applyProtection="1">
      <alignment horizontal="left" vertical="top" wrapText="1"/>
      <protection locked="0"/>
    </xf>
    <xf numFmtId="0" fontId="11" fillId="4" borderId="47" xfId="1" applyNumberFormat="1" applyFont="1" applyFill="1" applyBorder="1" applyAlignment="1" applyProtection="1">
      <alignment horizontal="left" vertical="top" wrapText="1"/>
      <protection locked="0"/>
    </xf>
    <xf numFmtId="0" fontId="11" fillId="4" borderId="48" xfId="1" applyNumberFormat="1" applyFont="1" applyFill="1" applyBorder="1" applyAlignment="1" applyProtection="1">
      <alignment horizontal="left" vertical="top" wrapText="1"/>
      <protection locked="0"/>
    </xf>
    <xf numFmtId="0" fontId="11" fillId="4" borderId="82" xfId="1" applyNumberFormat="1" applyFont="1" applyFill="1" applyBorder="1" applyAlignment="1" applyProtection="1">
      <alignment horizontal="left" vertical="top" wrapText="1"/>
      <protection locked="0"/>
    </xf>
    <xf numFmtId="0" fontId="11" fillId="4" borderId="10" xfId="1" applyNumberFormat="1" applyFont="1" applyFill="1" applyBorder="1" applyAlignment="1" applyProtection="1">
      <alignment horizontal="left" vertical="top" wrapText="1"/>
      <protection locked="0"/>
    </xf>
    <xf numFmtId="0" fontId="11" fillId="4" borderId="8" xfId="1" applyNumberFormat="1" applyFont="1" applyFill="1" applyBorder="1" applyAlignment="1" applyProtection="1">
      <alignment horizontal="left" vertical="top" wrapText="1"/>
      <protection locked="0"/>
    </xf>
    <xf numFmtId="0" fontId="9" fillId="7" borderId="49" xfId="0" applyFont="1" applyFill="1" applyBorder="1" applyAlignment="1">
      <alignment horizontal="center" vertical="center" wrapText="1"/>
    </xf>
    <xf numFmtId="0" fontId="9" fillId="7" borderId="50" xfId="0" applyFont="1" applyFill="1" applyBorder="1" applyAlignment="1">
      <alignment horizontal="center" vertical="center" wrapText="1"/>
    </xf>
    <xf numFmtId="0" fontId="9" fillId="7" borderId="70" xfId="0" applyFont="1" applyFill="1" applyBorder="1" applyAlignment="1">
      <alignment horizontal="center" vertical="center" wrapText="1"/>
    </xf>
    <xf numFmtId="0" fontId="8" fillId="0" borderId="58" xfId="0" applyFont="1" applyBorder="1" applyAlignment="1">
      <alignment horizontal="left" vertical="top" wrapText="1"/>
    </xf>
    <xf numFmtId="0" fontId="8" fillId="0" borderId="60" xfId="0" applyFont="1" applyBorder="1" applyAlignment="1">
      <alignment horizontal="left" vertical="top" wrapText="1"/>
    </xf>
    <xf numFmtId="0" fontId="8" fillId="0" borderId="63" xfId="0" applyFont="1" applyBorder="1" applyAlignment="1">
      <alignment horizontal="left" vertical="top" wrapText="1"/>
    </xf>
    <xf numFmtId="0" fontId="11" fillId="4" borderId="53" xfId="1" applyNumberFormat="1" applyFont="1" applyFill="1" applyBorder="1" applyAlignment="1" applyProtection="1">
      <alignment horizontal="center" vertical="top" wrapText="1"/>
      <protection locked="0"/>
    </xf>
    <xf numFmtId="0" fontId="11" fillId="4" borderId="61" xfId="1" applyNumberFormat="1" applyFont="1" applyFill="1" applyBorder="1" applyAlignment="1" applyProtection="1">
      <alignment horizontal="center" vertical="top" wrapText="1"/>
      <protection locked="0"/>
    </xf>
    <xf numFmtId="0" fontId="11" fillId="4" borderId="54" xfId="1" applyNumberFormat="1" applyFont="1" applyFill="1" applyBorder="1" applyAlignment="1" applyProtection="1">
      <alignment horizontal="center" vertical="top" wrapText="1"/>
      <protection locked="0"/>
    </xf>
    <xf numFmtId="0" fontId="9" fillId="7" borderId="52" xfId="0" applyFont="1" applyFill="1" applyBorder="1" applyAlignment="1">
      <alignment horizontal="center" vertical="center" wrapText="1"/>
    </xf>
    <xf numFmtId="0" fontId="13" fillId="0" borderId="71" xfId="0" applyFont="1" applyBorder="1" applyAlignment="1">
      <alignment horizontal="left" vertical="center" wrapText="1" indent="1"/>
    </xf>
    <xf numFmtId="0" fontId="13" fillId="0" borderId="50" xfId="0" applyFont="1" applyBorder="1" applyAlignment="1">
      <alignment horizontal="left" vertical="center" wrapText="1" indent="1"/>
    </xf>
    <xf numFmtId="0" fontId="13" fillId="0" borderId="51" xfId="0" applyFont="1" applyBorder="1" applyAlignment="1">
      <alignment horizontal="left" vertical="center" wrapText="1" indent="1"/>
    </xf>
    <xf numFmtId="0" fontId="8" fillId="0" borderId="71" xfId="0" applyFont="1" applyBorder="1" applyAlignment="1">
      <alignment horizontal="left" vertical="center" wrapText="1" indent="1"/>
    </xf>
    <xf numFmtId="0" fontId="8" fillId="0" borderId="50" xfId="0" applyFont="1" applyBorder="1" applyAlignment="1">
      <alignment horizontal="left" vertical="center" wrapText="1" indent="1"/>
    </xf>
    <xf numFmtId="0" fontId="8" fillId="0" borderId="51" xfId="0" applyFont="1" applyBorder="1" applyAlignment="1">
      <alignment horizontal="left" vertical="center" wrapText="1" indent="1"/>
    </xf>
    <xf numFmtId="0" fontId="7" fillId="4" borderId="4" xfId="0" applyFont="1" applyFill="1" applyBorder="1" applyAlignment="1" applyProtection="1">
      <alignment vertical="top" wrapText="1"/>
      <protection locked="0"/>
    </xf>
    <xf numFmtId="0" fontId="7" fillId="4" borderId="0" xfId="0" applyFont="1" applyFill="1" applyAlignment="1" applyProtection="1">
      <alignment vertical="top" wrapText="1"/>
      <protection locked="0"/>
    </xf>
    <xf numFmtId="0" fontId="7" fillId="4" borderId="3" xfId="0" applyFont="1" applyFill="1" applyBorder="1" applyAlignment="1" applyProtection="1">
      <alignment vertical="top" wrapText="1"/>
      <protection locked="0"/>
    </xf>
    <xf numFmtId="0" fontId="8" fillId="0" borderId="56" xfId="0" applyFont="1" applyBorder="1" applyAlignment="1">
      <alignment horizontal="right" vertical="center" wrapText="1" indent="1"/>
    </xf>
    <xf numFmtId="0" fontId="8" fillId="0" borderId="52" xfId="0" applyFont="1" applyBorder="1" applyAlignment="1">
      <alignment horizontal="right" vertical="center" wrapText="1" indent="1"/>
    </xf>
    <xf numFmtId="0" fontId="11" fillId="4" borderId="57" xfId="1" applyNumberFormat="1" applyFont="1" applyFill="1" applyBorder="1" applyAlignment="1" applyProtection="1">
      <alignment horizontal="left" vertical="top" wrapText="1"/>
      <protection locked="0"/>
    </xf>
    <xf numFmtId="0" fontId="11" fillId="4" borderId="55" xfId="1" applyNumberFormat="1" applyFont="1" applyFill="1" applyBorder="1" applyAlignment="1" applyProtection="1">
      <alignment horizontal="left" vertical="top" wrapText="1"/>
      <protection locked="0"/>
    </xf>
    <xf numFmtId="0" fontId="13" fillId="7" borderId="71" xfId="0" applyFont="1" applyFill="1" applyBorder="1" applyAlignment="1">
      <alignment horizontal="left" vertical="center" wrapText="1" indent="1"/>
    </xf>
    <xf numFmtId="0" fontId="13" fillId="7" borderId="50" xfId="0" applyFont="1" applyFill="1" applyBorder="1" applyAlignment="1">
      <alignment horizontal="left" vertical="center" wrapText="1" indent="1"/>
    </xf>
    <xf numFmtId="0" fontId="13" fillId="7" borderId="70" xfId="0" applyFont="1" applyFill="1" applyBorder="1" applyAlignment="1">
      <alignment horizontal="left" vertical="center" wrapText="1" indent="1"/>
    </xf>
    <xf numFmtId="0" fontId="41" fillId="5" borderId="53" xfId="0" applyFont="1" applyFill="1" applyBorder="1" applyAlignment="1">
      <alignment horizontal="left" vertical="center" wrapText="1"/>
    </xf>
    <xf numFmtId="0" fontId="41" fillId="5" borderId="61" xfId="0" applyFont="1" applyFill="1" applyBorder="1" applyAlignment="1">
      <alignment horizontal="left" vertical="center" wrapText="1"/>
    </xf>
    <xf numFmtId="0" fontId="41" fillId="5" borderId="54" xfId="0" applyFont="1" applyFill="1" applyBorder="1" applyAlignment="1">
      <alignment horizontal="left" vertical="center" wrapText="1"/>
    </xf>
    <xf numFmtId="0" fontId="9" fillId="7" borderId="53" xfId="0" applyFont="1" applyFill="1" applyBorder="1" applyAlignment="1">
      <alignment horizontal="center" vertical="center" wrapText="1"/>
    </xf>
    <xf numFmtId="0" fontId="9" fillId="7" borderId="54" xfId="0" applyFont="1" applyFill="1" applyBorder="1" applyAlignment="1">
      <alignment horizontal="center" vertical="center" wrapText="1"/>
    </xf>
    <xf numFmtId="0" fontId="13" fillId="7" borderId="56" xfId="0" applyFont="1" applyFill="1" applyBorder="1" applyAlignment="1">
      <alignment horizontal="center" vertical="center" wrapText="1"/>
    </xf>
    <xf numFmtId="0" fontId="7" fillId="0" borderId="52" xfId="0" applyFont="1" applyBorder="1" applyAlignment="1">
      <alignment horizontal="right" vertical="center" wrapText="1" indent="1"/>
    </xf>
    <xf numFmtId="0" fontId="8" fillId="0" borderId="77" xfId="0" applyFont="1" applyBorder="1" applyAlignment="1">
      <alignment horizontal="right" vertical="top" wrapText="1"/>
    </xf>
    <xf numFmtId="0" fontId="8" fillId="0" borderId="78" xfId="0" applyFont="1" applyBorder="1" applyAlignment="1">
      <alignment horizontal="right" vertical="top" wrapText="1"/>
    </xf>
    <xf numFmtId="164" fontId="11" fillId="5" borderId="53" xfId="6" applyNumberFormat="1" applyFont="1" applyFill="1" applyBorder="1" applyAlignment="1" applyProtection="1">
      <alignment horizontal="center" vertical="center"/>
    </xf>
    <xf numFmtId="164" fontId="11" fillId="5" borderId="54" xfId="6" applyNumberFormat="1" applyFont="1" applyFill="1" applyBorder="1" applyAlignment="1" applyProtection="1">
      <alignment horizontal="center" vertical="center"/>
    </xf>
    <xf numFmtId="0" fontId="8" fillId="0" borderId="58" xfId="0" applyFont="1" applyBorder="1" applyAlignment="1">
      <alignment horizontal="left" wrapText="1" indent="1"/>
    </xf>
    <xf numFmtId="0" fontId="8" fillId="0" borderId="53" xfId="0" applyFont="1" applyBorder="1" applyAlignment="1">
      <alignment horizontal="left" wrapText="1" indent="1"/>
    </xf>
    <xf numFmtId="0" fontId="8" fillId="0" borderId="60" xfId="0" applyFont="1" applyBorder="1" applyAlignment="1">
      <alignment horizontal="left" wrapText="1" indent="1"/>
    </xf>
    <xf numFmtId="0" fontId="8" fillId="0" borderId="61" xfId="0" applyFont="1" applyBorder="1" applyAlignment="1">
      <alignment horizontal="left" wrapText="1" indent="1"/>
    </xf>
    <xf numFmtId="0" fontId="8" fillId="0" borderId="63" xfId="0" applyFont="1" applyBorder="1" applyAlignment="1">
      <alignment horizontal="left" wrapText="1" indent="1"/>
    </xf>
    <xf numFmtId="0" fontId="8" fillId="0" borderId="54" xfId="0" applyFont="1" applyBorder="1" applyAlignment="1">
      <alignment horizontal="left" wrapText="1" indent="1"/>
    </xf>
    <xf numFmtId="0" fontId="8" fillId="0" borderId="53" xfId="0" applyFont="1" applyBorder="1" applyAlignment="1">
      <alignment horizontal="center" wrapText="1"/>
    </xf>
    <xf numFmtId="0" fontId="8" fillId="0" borderId="61" xfId="0" applyFont="1" applyBorder="1" applyAlignment="1">
      <alignment horizontal="center" wrapText="1"/>
    </xf>
    <xf numFmtId="0" fontId="8" fillId="0" borderId="54" xfId="0" applyFont="1" applyBorder="1" applyAlignment="1">
      <alignment horizontal="center" wrapText="1"/>
    </xf>
    <xf numFmtId="0" fontId="8" fillId="0" borderId="63" xfId="0" applyFont="1" applyBorder="1" applyAlignment="1">
      <alignment horizontal="left" vertical="center" wrapText="1" indent="1"/>
    </xf>
    <xf numFmtId="0" fontId="7" fillId="0" borderId="54" xfId="0" applyFont="1" applyBorder="1" applyAlignment="1">
      <alignment horizontal="left" vertical="center" wrapText="1" indent="1"/>
    </xf>
    <xf numFmtId="0" fontId="8" fillId="0" borderId="56" xfId="0" applyFont="1" applyBorder="1" applyAlignment="1">
      <alignment horizontal="left" vertical="center" wrapText="1" indent="1"/>
    </xf>
    <xf numFmtId="0" fontId="7" fillId="0" borderId="52" xfId="0" applyFont="1" applyBorder="1" applyAlignment="1">
      <alignment horizontal="left" vertical="center" wrapText="1" indent="1"/>
    </xf>
    <xf numFmtId="0" fontId="8" fillId="0" borderId="66" xfId="0" applyFont="1" applyBorder="1" applyAlignment="1">
      <alignment horizontal="left" vertical="center" wrapText="1" indent="1"/>
    </xf>
    <xf numFmtId="0" fontId="7" fillId="0" borderId="67" xfId="0" applyFont="1" applyBorder="1" applyAlignment="1">
      <alignment horizontal="left" vertical="center" wrapText="1" indent="1"/>
    </xf>
    <xf numFmtId="0" fontId="8" fillId="0" borderId="49" xfId="0" applyFont="1" applyBorder="1" applyAlignment="1">
      <alignment horizontal="right" vertical="top" wrapText="1"/>
    </xf>
    <xf numFmtId="0" fontId="8" fillId="0" borderId="51" xfId="0" applyFont="1" applyBorder="1" applyAlignment="1">
      <alignment horizontal="right" vertical="top" wrapText="1"/>
    </xf>
    <xf numFmtId="0" fontId="8" fillId="0" borderId="79" xfId="0" applyFont="1" applyBorder="1" applyAlignment="1">
      <alignment horizontal="right" vertical="top" wrapText="1"/>
    </xf>
    <xf numFmtId="0" fontId="8" fillId="0" borderId="80" xfId="0" applyFont="1" applyBorder="1" applyAlignment="1">
      <alignment horizontal="right" vertical="top" wrapText="1"/>
    </xf>
    <xf numFmtId="0" fontId="8" fillId="0" borderId="68" xfId="0" applyFont="1" applyBorder="1" applyAlignment="1">
      <alignment horizontal="left" vertical="center" wrapText="1" indent="1"/>
    </xf>
    <xf numFmtId="0" fontId="7" fillId="0" borderId="69" xfId="0" applyFont="1" applyBorder="1" applyAlignment="1">
      <alignment horizontal="left" vertical="center" wrapText="1" indent="1"/>
    </xf>
    <xf numFmtId="164" fontId="11" fillId="5" borderId="52" xfId="1" applyNumberFormat="1" applyFont="1" applyFill="1" applyBorder="1" applyAlignment="1" applyProtection="1">
      <alignment vertical="center"/>
    </xf>
    <xf numFmtId="0" fontId="8" fillId="0" borderId="53"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37" xfId="0" applyFont="1" applyBorder="1" applyAlignment="1">
      <alignment horizontal="left" vertical="center" wrapText="1" indent="1"/>
    </xf>
    <xf numFmtId="0" fontId="8" fillId="0" borderId="40" xfId="0" applyFont="1" applyBorder="1" applyAlignment="1">
      <alignment horizontal="left" vertical="center" wrapText="1" indent="1"/>
    </xf>
    <xf numFmtId="0" fontId="8" fillId="0" borderId="38" xfId="0" applyFont="1" applyBorder="1" applyAlignment="1">
      <alignment horizontal="left" vertical="center" wrapText="1" indent="1"/>
    </xf>
    <xf numFmtId="0" fontId="8" fillId="0" borderId="44" xfId="0" applyFont="1" applyBorder="1" applyAlignment="1">
      <alignment horizontal="left" vertical="center" wrapText="1" indent="1"/>
    </xf>
    <xf numFmtId="0" fontId="8" fillId="0" borderId="47" xfId="0" applyFont="1" applyBorder="1" applyAlignment="1">
      <alignment horizontal="left" vertical="center" wrapText="1" indent="1"/>
    </xf>
    <xf numFmtId="0" fontId="8" fillId="0" borderId="45" xfId="0" applyFont="1" applyBorder="1" applyAlignment="1">
      <alignment horizontal="left" vertical="center" wrapText="1" indent="1"/>
    </xf>
    <xf numFmtId="0" fontId="6" fillId="3" borderId="4" xfId="0" applyFont="1" applyFill="1" applyBorder="1" applyAlignment="1">
      <alignment horizontal="left" wrapText="1"/>
    </xf>
    <xf numFmtId="0" fontId="6" fillId="3" borderId="0" xfId="0" applyFont="1" applyFill="1" applyAlignment="1">
      <alignment horizontal="left" wrapText="1"/>
    </xf>
    <xf numFmtId="0" fontId="6" fillId="3" borderId="3" xfId="0" applyFont="1" applyFill="1" applyBorder="1" applyAlignment="1">
      <alignment horizontal="left" wrapText="1"/>
    </xf>
    <xf numFmtId="0" fontId="9" fillId="7" borderId="81" xfId="0" applyFont="1" applyFill="1" applyBorder="1" applyAlignment="1">
      <alignment horizontal="center" vertical="center" wrapText="1"/>
    </xf>
    <xf numFmtId="0" fontId="8" fillId="0" borderId="69" xfId="0" applyFont="1" applyBorder="1" applyAlignment="1">
      <alignment horizontal="left" vertical="center" wrapText="1" indent="1"/>
    </xf>
    <xf numFmtId="0" fontId="8" fillId="0" borderId="52" xfId="0" applyFont="1" applyBorder="1" applyAlignment="1">
      <alignment horizontal="left" vertical="center" wrapText="1" indent="1"/>
    </xf>
    <xf numFmtId="0" fontId="8" fillId="0" borderId="67" xfId="0" applyFont="1" applyBorder="1" applyAlignment="1">
      <alignment horizontal="left" vertical="center" wrapText="1" indent="1"/>
    </xf>
    <xf numFmtId="164" fontId="11" fillId="5" borderId="53" xfId="6" applyNumberFormat="1" applyFont="1" applyFill="1" applyBorder="1" applyAlignment="1" applyProtection="1">
      <alignment vertical="center"/>
    </xf>
    <xf numFmtId="164" fontId="11" fillId="5" borderId="54" xfId="6" applyNumberFormat="1" applyFont="1" applyFill="1" applyBorder="1" applyAlignment="1" applyProtection="1">
      <alignment vertical="center"/>
    </xf>
    <xf numFmtId="0" fontId="13" fillId="7" borderId="71" xfId="0" applyFont="1" applyFill="1" applyBorder="1" applyAlignment="1">
      <alignment horizontal="center" vertical="center" wrapText="1"/>
    </xf>
    <xf numFmtId="0" fontId="13" fillId="7" borderId="50" xfId="0" applyFont="1" applyFill="1" applyBorder="1" applyAlignment="1">
      <alignment horizontal="center" vertical="center" wrapText="1"/>
    </xf>
    <xf numFmtId="0" fontId="13" fillId="7" borderId="51" xfId="0" applyFont="1" applyFill="1" applyBorder="1" applyAlignment="1">
      <alignment horizontal="center" vertical="center" wrapText="1"/>
    </xf>
    <xf numFmtId="164" fontId="11" fillId="5" borderId="53" xfId="1" applyNumberFormat="1" applyFont="1" applyFill="1" applyBorder="1" applyAlignment="1" applyProtection="1">
      <alignment vertical="center"/>
    </xf>
    <xf numFmtId="164" fontId="11" fillId="5" borderId="54" xfId="1" applyNumberFormat="1" applyFont="1" applyFill="1" applyBorder="1" applyAlignment="1" applyProtection="1">
      <alignment vertical="center"/>
    </xf>
    <xf numFmtId="0" fontId="8" fillId="0" borderId="4" xfId="0" applyFont="1" applyBorder="1" applyAlignment="1">
      <alignment horizontal="left" wrapText="1"/>
    </xf>
    <xf numFmtId="0" fontId="8" fillId="0" borderId="0" xfId="0" applyFont="1" applyAlignment="1">
      <alignment horizontal="left" wrapText="1"/>
    </xf>
    <xf numFmtId="0" fontId="8" fillId="0" borderId="3" xfId="0" applyFont="1" applyBorder="1" applyAlignment="1">
      <alignment horizontal="left" wrapText="1"/>
    </xf>
    <xf numFmtId="0" fontId="8" fillId="0" borderId="71" xfId="0" applyFont="1" applyBorder="1" applyAlignment="1">
      <alignment horizontal="right" vertical="center" wrapText="1" indent="1"/>
    </xf>
    <xf numFmtId="0" fontId="8" fillId="0" borderId="50" xfId="0" applyFont="1" applyBorder="1" applyAlignment="1">
      <alignment horizontal="right" vertical="center" wrapText="1" indent="1"/>
    </xf>
    <xf numFmtId="0" fontId="8" fillId="0" borderId="51" xfId="0" applyFont="1" applyBorder="1" applyAlignment="1">
      <alignment horizontal="right" vertical="center" wrapText="1" indent="1"/>
    </xf>
    <xf numFmtId="0" fontId="7" fillId="2" borderId="37" xfId="0" applyFont="1" applyFill="1" applyBorder="1" applyAlignment="1">
      <alignment horizontal="right" vertical="top" wrapText="1" indent="1"/>
    </xf>
    <xf numFmtId="0" fontId="7" fillId="2" borderId="40" xfId="0" applyFont="1" applyFill="1" applyBorder="1" applyAlignment="1">
      <alignment horizontal="right" vertical="top" wrapText="1" indent="1"/>
    </xf>
    <xf numFmtId="0" fontId="7" fillId="2" borderId="38" xfId="0" applyFont="1" applyFill="1" applyBorder="1" applyAlignment="1">
      <alignment horizontal="right" vertical="top" wrapText="1" indent="1"/>
    </xf>
    <xf numFmtId="0" fontId="7" fillId="2" borderId="44" xfId="0" applyFont="1" applyFill="1" applyBorder="1" applyAlignment="1">
      <alignment horizontal="right" vertical="top" wrapText="1" indent="1"/>
    </xf>
    <xf numFmtId="0" fontId="7" fillId="2" borderId="47" xfId="0" applyFont="1" applyFill="1" applyBorder="1" applyAlignment="1">
      <alignment horizontal="right" vertical="top" wrapText="1" indent="1"/>
    </xf>
    <xf numFmtId="0" fontId="7" fillId="2" borderId="45" xfId="0" applyFont="1" applyFill="1" applyBorder="1" applyAlignment="1">
      <alignment horizontal="right" vertical="top" wrapText="1" indent="1"/>
    </xf>
    <xf numFmtId="0" fontId="7" fillId="2" borderId="37" xfId="0" applyFont="1" applyFill="1" applyBorder="1" applyAlignment="1">
      <alignment horizontal="right" vertical="center" wrapText="1" indent="1"/>
    </xf>
    <xf numFmtId="0" fontId="7" fillId="2" borderId="40" xfId="0" applyFont="1" applyFill="1" applyBorder="1" applyAlignment="1">
      <alignment horizontal="right" vertical="center" wrapText="1" indent="1"/>
    </xf>
    <xf numFmtId="0" fontId="7" fillId="2" borderId="38" xfId="0" applyFont="1" applyFill="1" applyBorder="1" applyAlignment="1">
      <alignment horizontal="right" vertical="center" wrapText="1" indent="1"/>
    </xf>
    <xf numFmtId="0" fontId="7" fillId="2" borderId="44" xfId="0" applyFont="1" applyFill="1" applyBorder="1" applyAlignment="1">
      <alignment horizontal="right" vertical="center" wrapText="1" indent="1"/>
    </xf>
    <xf numFmtId="0" fontId="7" fillId="2" borderId="47" xfId="0" applyFont="1" applyFill="1" applyBorder="1" applyAlignment="1">
      <alignment horizontal="right" vertical="center" wrapText="1" indent="1"/>
    </xf>
    <xf numFmtId="0" fontId="7" fillId="2" borderId="45" xfId="0" applyFont="1" applyFill="1" applyBorder="1" applyAlignment="1">
      <alignment horizontal="right" vertical="center" wrapText="1" indent="1"/>
    </xf>
    <xf numFmtId="0" fontId="13" fillId="7" borderId="71" xfId="0" applyFont="1" applyFill="1" applyBorder="1" applyAlignment="1">
      <alignment horizontal="center" vertical="top" wrapText="1"/>
    </xf>
    <xf numFmtId="0" fontId="13" fillId="7" borderId="50" xfId="0" applyFont="1" applyFill="1" applyBorder="1" applyAlignment="1">
      <alignment horizontal="center" vertical="top" wrapText="1"/>
    </xf>
    <xf numFmtId="0" fontId="13" fillId="7" borderId="51" xfId="0" applyFont="1" applyFill="1" applyBorder="1" applyAlignment="1">
      <alignment horizontal="center" vertical="top" wrapText="1"/>
    </xf>
    <xf numFmtId="0" fontId="8" fillId="0" borderId="71" xfId="0" applyFont="1" applyBorder="1" applyAlignment="1">
      <alignment horizontal="right" vertical="top" wrapText="1" indent="1"/>
    </xf>
    <xf numFmtId="0" fontId="8" fillId="0" borderId="50" xfId="0" applyFont="1" applyBorder="1" applyAlignment="1">
      <alignment horizontal="right" vertical="top" wrapText="1" indent="1"/>
    </xf>
    <xf numFmtId="0" fontId="8" fillId="0" borderId="51" xfId="0" applyFont="1" applyBorder="1" applyAlignment="1">
      <alignment horizontal="right" vertical="top" wrapText="1" indent="1"/>
    </xf>
    <xf numFmtId="0" fontId="7" fillId="2" borderId="4" xfId="0" applyFont="1" applyFill="1" applyBorder="1" applyAlignment="1">
      <alignment horizontal="right" vertical="center" wrapText="1" indent="1"/>
    </xf>
    <xf numFmtId="0" fontId="7" fillId="2" borderId="0" xfId="0" applyFont="1" applyFill="1" applyAlignment="1">
      <alignment horizontal="right" vertical="center" wrapText="1" indent="1"/>
    </xf>
    <xf numFmtId="0" fontId="7" fillId="2" borderId="42" xfId="0" applyFont="1" applyFill="1" applyBorder="1" applyAlignment="1">
      <alignment horizontal="right" vertical="center" wrapText="1" indent="1"/>
    </xf>
    <xf numFmtId="0" fontId="13" fillId="7" borderId="71" xfId="0" applyFont="1" applyFill="1" applyBorder="1" applyAlignment="1">
      <alignment horizontal="center" vertical="top"/>
    </xf>
    <xf numFmtId="0" fontId="13" fillId="7" borderId="50" xfId="0" applyFont="1" applyFill="1" applyBorder="1" applyAlignment="1">
      <alignment horizontal="center" vertical="top"/>
    </xf>
    <xf numFmtId="0" fontId="13" fillId="7" borderId="51" xfId="0" applyFont="1" applyFill="1" applyBorder="1" applyAlignment="1">
      <alignment horizontal="center" vertical="top"/>
    </xf>
    <xf numFmtId="0" fontId="13" fillId="7" borderId="37" xfId="0" applyFont="1" applyFill="1" applyBorder="1" applyAlignment="1">
      <alignment horizontal="left" vertical="center" wrapText="1" indent="1"/>
    </xf>
    <xf numFmtId="0" fontId="13" fillId="7" borderId="40" xfId="0" applyFont="1" applyFill="1" applyBorder="1" applyAlignment="1">
      <alignment horizontal="left" vertical="center" wrapText="1" indent="1"/>
    </xf>
    <xf numFmtId="0" fontId="13" fillId="7" borderId="41" xfId="0" applyFont="1" applyFill="1" applyBorder="1" applyAlignment="1">
      <alignment horizontal="left" vertical="center" wrapText="1" indent="1"/>
    </xf>
    <xf numFmtId="0" fontId="13" fillId="7" borderId="44" xfId="0" applyFont="1" applyFill="1" applyBorder="1" applyAlignment="1">
      <alignment horizontal="center" vertical="center" wrapText="1"/>
    </xf>
    <xf numFmtId="0" fontId="13" fillId="7" borderId="47" xfId="0" applyFont="1" applyFill="1" applyBorder="1" applyAlignment="1">
      <alignment horizontal="center" vertical="center" wrapText="1"/>
    </xf>
    <xf numFmtId="0" fontId="13" fillId="7" borderId="48" xfId="0" applyFont="1" applyFill="1" applyBorder="1" applyAlignment="1">
      <alignment horizontal="center" vertical="center" wrapText="1"/>
    </xf>
    <xf numFmtId="0" fontId="8" fillId="0" borderId="42" xfId="0" applyFont="1" applyBorder="1" applyAlignment="1">
      <alignment horizontal="left" vertical="center" wrapText="1"/>
    </xf>
    <xf numFmtId="1" fontId="44" fillId="5" borderId="53" xfId="1" applyNumberFormat="1" applyFont="1" applyFill="1" applyBorder="1" applyAlignment="1" applyProtection="1">
      <alignment horizontal="center" vertical="center" wrapText="1"/>
    </xf>
    <xf numFmtId="1" fontId="44" fillId="5" borderId="61" xfId="1" applyNumberFormat="1" applyFont="1" applyFill="1" applyBorder="1" applyAlignment="1" applyProtection="1">
      <alignment horizontal="center" vertical="center" wrapText="1"/>
    </xf>
    <xf numFmtId="1" fontId="44" fillId="5" borderId="54" xfId="1" applyNumberFormat="1" applyFont="1" applyFill="1" applyBorder="1" applyAlignment="1" applyProtection="1">
      <alignment horizontal="center" vertical="center" wrapText="1"/>
    </xf>
    <xf numFmtId="0" fontId="13" fillId="0" borderId="71" xfId="0" applyFont="1" applyBorder="1" applyAlignment="1">
      <alignment horizontal="left" vertical="top" wrapText="1" indent="1"/>
    </xf>
    <xf numFmtId="0" fontId="13" fillId="0" borderId="50" xfId="0" applyFont="1" applyBorder="1" applyAlignment="1">
      <alignment horizontal="left" vertical="top" wrapText="1" indent="1"/>
    </xf>
    <xf numFmtId="0" fontId="13" fillId="0" borderId="51" xfId="0" applyFont="1" applyBorder="1" applyAlignment="1">
      <alignment horizontal="left" vertical="top" wrapText="1" indent="1"/>
    </xf>
    <xf numFmtId="0" fontId="8" fillId="0" borderId="71" xfId="0" applyFont="1" applyBorder="1" applyAlignment="1">
      <alignment horizontal="left" vertical="top" wrapText="1" indent="1"/>
    </xf>
    <xf numFmtId="0" fontId="8" fillId="0" borderId="50" xfId="0" applyFont="1" applyBorder="1" applyAlignment="1">
      <alignment horizontal="left" vertical="top" wrapText="1" indent="1"/>
    </xf>
    <xf numFmtId="0" fontId="8" fillId="0" borderId="51" xfId="0" applyFont="1" applyBorder="1" applyAlignment="1">
      <alignment horizontal="left" vertical="top" wrapText="1" indent="1"/>
    </xf>
    <xf numFmtId="0" fontId="8" fillId="0" borderId="56" xfId="0" applyFont="1" applyBorder="1" applyAlignment="1">
      <alignment horizontal="center" vertical="center" wrapText="1"/>
    </xf>
    <xf numFmtId="0" fontId="8" fillId="0" borderId="56" xfId="0" applyFont="1" applyBorder="1" applyAlignment="1">
      <alignment horizontal="left" vertical="top" wrapText="1" indent="1"/>
    </xf>
    <xf numFmtId="0" fontId="8" fillId="0" borderId="52" xfId="0" applyFont="1" applyBorder="1" applyAlignment="1">
      <alignment horizontal="left" vertical="top" wrapText="1" indent="1"/>
    </xf>
    <xf numFmtId="0" fontId="8" fillId="4" borderId="4"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3" xfId="0" applyFont="1" applyFill="1" applyBorder="1" applyAlignment="1" applyProtection="1">
      <alignment horizontal="left" vertical="top" wrapText="1"/>
      <protection locked="0"/>
    </xf>
    <xf numFmtId="0" fontId="9" fillId="7" borderId="57" xfId="0" applyFont="1" applyFill="1" applyBorder="1" applyAlignment="1">
      <alignment horizontal="center" vertical="center" wrapText="1"/>
    </xf>
    <xf numFmtId="0" fontId="9" fillId="7" borderId="58" xfId="0" applyFont="1" applyFill="1" applyBorder="1" applyAlignment="1">
      <alignment horizontal="center" vertical="center" wrapText="1"/>
    </xf>
    <xf numFmtId="0" fontId="9" fillId="7" borderId="63" xfId="0" applyFont="1" applyFill="1" applyBorder="1" applyAlignment="1">
      <alignment horizontal="center" vertical="center" wrapText="1"/>
    </xf>
    <xf numFmtId="0" fontId="9" fillId="7" borderId="37" xfId="0" applyFont="1" applyFill="1" applyBorder="1" applyAlignment="1">
      <alignment horizontal="center" vertical="center" wrapText="1"/>
    </xf>
    <xf numFmtId="0" fontId="9" fillId="7" borderId="40" xfId="0" applyFont="1" applyFill="1" applyBorder="1" applyAlignment="1">
      <alignment horizontal="center" vertical="center" wrapText="1"/>
    </xf>
    <xf numFmtId="0" fontId="9" fillId="7" borderId="38" xfId="0" applyFont="1" applyFill="1" applyBorder="1" applyAlignment="1">
      <alignment horizontal="center" vertical="center" wrapText="1"/>
    </xf>
    <xf numFmtId="0" fontId="9" fillId="7" borderId="44" xfId="0" applyFont="1" applyFill="1" applyBorder="1" applyAlignment="1">
      <alignment horizontal="center" vertical="center" wrapText="1"/>
    </xf>
    <xf numFmtId="0" fontId="9" fillId="7" borderId="47" xfId="0" applyFont="1" applyFill="1" applyBorder="1" applyAlignment="1">
      <alignment horizontal="center" vertical="center" wrapText="1"/>
    </xf>
    <xf numFmtId="0" fontId="9" fillId="7" borderId="45" xfId="0" applyFont="1" applyFill="1" applyBorder="1" applyAlignment="1">
      <alignment horizontal="center" vertical="center" wrapText="1"/>
    </xf>
    <xf numFmtId="0" fontId="9" fillId="7" borderId="56" xfId="0" applyFont="1" applyFill="1" applyBorder="1" applyAlignment="1">
      <alignment horizontal="center" vertical="center" wrapText="1"/>
    </xf>
    <xf numFmtId="0" fontId="13" fillId="0" borderId="56" xfId="0" applyFont="1" applyBorder="1" applyAlignment="1">
      <alignment horizontal="left" vertical="top" wrapText="1" indent="1"/>
    </xf>
    <xf numFmtId="0" fontId="13" fillId="0" borderId="52" xfId="0" applyFont="1" applyBorder="1" applyAlignment="1">
      <alignment horizontal="left" vertical="top" wrapText="1" indent="1"/>
    </xf>
    <xf numFmtId="0" fontId="11" fillId="4" borderId="52" xfId="1" applyNumberFormat="1" applyFont="1" applyFill="1" applyBorder="1" applyAlignment="1" applyProtection="1">
      <alignment horizontal="left" vertical="top" wrapText="1"/>
      <protection locked="0"/>
    </xf>
    <xf numFmtId="0" fontId="8" fillId="4" borderId="4" xfId="0" applyFont="1" applyFill="1" applyBorder="1" applyAlignment="1" applyProtection="1">
      <alignment vertical="top" wrapText="1"/>
      <protection locked="0"/>
    </xf>
    <xf numFmtId="0" fontId="8" fillId="4" borderId="0" xfId="0" applyFont="1" applyFill="1" applyAlignment="1" applyProtection="1">
      <alignment vertical="top" wrapText="1"/>
      <protection locked="0"/>
    </xf>
    <xf numFmtId="0" fontId="8" fillId="4" borderId="3" xfId="0" applyFont="1" applyFill="1" applyBorder="1" applyAlignment="1" applyProtection="1">
      <alignment vertical="top" wrapText="1"/>
      <protection locked="0"/>
    </xf>
    <xf numFmtId="0" fontId="8" fillId="0" borderId="74" xfId="0" applyFont="1" applyBorder="1" applyAlignment="1">
      <alignment horizontal="left" vertical="center" wrapText="1"/>
    </xf>
    <xf numFmtId="0" fontId="8" fillId="0" borderId="75" xfId="0" applyFont="1" applyBorder="1" applyAlignment="1">
      <alignment horizontal="left" vertical="center" wrapText="1"/>
    </xf>
    <xf numFmtId="0" fontId="11" fillId="4" borderId="75" xfId="1" applyNumberFormat="1" applyFont="1" applyFill="1" applyBorder="1" applyAlignment="1" applyProtection="1">
      <alignment horizontal="left" vertical="top" wrapText="1"/>
      <protection locked="0"/>
    </xf>
    <xf numFmtId="0" fontId="11" fillId="4" borderId="76" xfId="1" applyNumberFormat="1" applyFont="1" applyFill="1" applyBorder="1" applyAlignment="1" applyProtection="1">
      <alignment horizontal="left" vertical="top" wrapText="1"/>
      <protection locked="0"/>
    </xf>
    <xf numFmtId="0" fontId="13" fillId="7" borderId="37" xfId="0" applyFont="1" applyFill="1" applyBorder="1" applyAlignment="1">
      <alignment horizontal="center" vertical="center" wrapText="1"/>
    </xf>
    <xf numFmtId="0" fontId="13" fillId="7" borderId="40" xfId="0" applyFont="1" applyFill="1" applyBorder="1" applyAlignment="1">
      <alignment horizontal="center" vertical="center" wrapText="1"/>
    </xf>
    <xf numFmtId="0" fontId="13" fillId="7" borderId="38" xfId="0" applyFont="1" applyFill="1" applyBorder="1" applyAlignment="1">
      <alignment horizontal="center" vertical="center" wrapText="1"/>
    </xf>
    <xf numFmtId="0" fontId="13" fillId="7" borderId="45" xfId="0" applyFont="1" applyFill="1" applyBorder="1" applyAlignment="1">
      <alignment horizontal="center" vertical="center" wrapText="1"/>
    </xf>
    <xf numFmtId="0" fontId="8" fillId="2" borderId="37" xfId="0" applyFont="1" applyFill="1" applyBorder="1" applyAlignment="1">
      <alignment horizontal="left" vertical="center" wrapText="1"/>
    </xf>
    <xf numFmtId="0" fontId="8" fillId="2" borderId="40" xfId="0" applyFont="1" applyFill="1" applyBorder="1" applyAlignment="1">
      <alignment horizontal="left" vertical="center" wrapText="1"/>
    </xf>
    <xf numFmtId="0" fontId="8" fillId="2" borderId="38"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42" xfId="0" applyFont="1" applyFill="1" applyBorder="1" applyAlignment="1">
      <alignment horizontal="left" vertical="center" wrapText="1"/>
    </xf>
    <xf numFmtId="0" fontId="8" fillId="2" borderId="44" xfId="0" applyFont="1" applyFill="1" applyBorder="1" applyAlignment="1">
      <alignment horizontal="left" vertical="center" wrapText="1"/>
    </xf>
    <xf numFmtId="0" fontId="8" fillId="2" borderId="47" xfId="0" applyFont="1" applyFill="1" applyBorder="1" applyAlignment="1">
      <alignment horizontal="left" vertical="center" wrapText="1"/>
    </xf>
    <xf numFmtId="0" fontId="8" fillId="2" borderId="45" xfId="0" applyFont="1" applyFill="1" applyBorder="1" applyAlignment="1">
      <alignment horizontal="left" vertical="center" wrapText="1"/>
    </xf>
    <xf numFmtId="0" fontId="8" fillId="0" borderId="56" xfId="0" applyFont="1" applyBorder="1" applyAlignment="1">
      <alignment horizontal="left" vertical="top" wrapText="1" indent="2"/>
    </xf>
    <xf numFmtId="0" fontId="8" fillId="0" borderId="52" xfId="0" applyFont="1" applyBorder="1" applyAlignment="1">
      <alignment horizontal="left" vertical="top" wrapText="1" indent="2"/>
    </xf>
    <xf numFmtId="0" fontId="13" fillId="0" borderId="56" xfId="0" applyFont="1" applyBorder="1" applyAlignment="1">
      <alignment horizontal="left" vertical="top" wrapText="1" indent="2"/>
    </xf>
    <xf numFmtId="0" fontId="13" fillId="0" borderId="52" xfId="0" applyFont="1" applyBorder="1" applyAlignment="1">
      <alignment horizontal="left" vertical="top" wrapText="1" indent="2"/>
    </xf>
    <xf numFmtId="0" fontId="6" fillId="3" borderId="4" xfId="0" applyFont="1" applyFill="1" applyBorder="1" applyAlignment="1">
      <alignment horizontal="left" vertical="top"/>
    </xf>
    <xf numFmtId="0" fontId="6" fillId="3" borderId="0" xfId="0" applyFont="1" applyFill="1" applyAlignment="1">
      <alignment horizontal="left" vertical="top"/>
    </xf>
    <xf numFmtId="0" fontId="6" fillId="3" borderId="3" xfId="0" applyFont="1" applyFill="1" applyBorder="1" applyAlignment="1">
      <alignment horizontal="left" vertical="top"/>
    </xf>
    <xf numFmtId="0" fontId="13" fillId="0" borderId="71" xfId="0" applyFont="1" applyBorder="1" applyAlignment="1">
      <alignment horizontal="left" vertical="top" wrapText="1"/>
    </xf>
    <xf numFmtId="0" fontId="13" fillId="0" borderId="50" xfId="0" applyFont="1" applyBorder="1" applyAlignment="1">
      <alignment horizontal="left" vertical="top" wrapText="1"/>
    </xf>
    <xf numFmtId="0" fontId="13" fillId="0" borderId="51" xfId="0" applyFont="1" applyBorder="1" applyAlignment="1">
      <alignment horizontal="left" vertical="top" wrapText="1"/>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45"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42" xfId="0" applyFont="1" applyBorder="1" applyAlignment="1">
      <alignment horizontal="center" vertical="center" wrapText="1"/>
    </xf>
    <xf numFmtId="0" fontId="8" fillId="4" borderId="71" xfId="0" applyFont="1" applyFill="1" applyBorder="1" applyAlignment="1" applyProtection="1">
      <alignment horizontal="center" vertical="center" wrapText="1"/>
      <protection locked="0"/>
    </xf>
    <xf numFmtId="0" fontId="8" fillId="4" borderId="51" xfId="0" applyFont="1" applyFill="1" applyBorder="1" applyAlignment="1" applyProtection="1">
      <alignment horizontal="center" vertical="center" wrapText="1"/>
      <protection locked="0"/>
    </xf>
    <xf numFmtId="0" fontId="8" fillId="0" borderId="4" xfId="0" applyFont="1" applyBorder="1" applyAlignment="1">
      <alignment horizontal="center" vertical="center" wrapText="1"/>
    </xf>
    <xf numFmtId="0" fontId="8" fillId="0" borderId="42" xfId="0" applyFont="1" applyBorder="1" applyAlignment="1">
      <alignment horizontal="center" vertical="center" wrapText="1"/>
    </xf>
    <xf numFmtId="0" fontId="11" fillId="4" borderId="38" xfId="1" applyNumberFormat="1" applyFont="1" applyFill="1" applyBorder="1" applyAlignment="1" applyProtection="1">
      <alignment horizontal="left" vertical="center" wrapText="1"/>
      <protection locked="0"/>
    </xf>
    <xf numFmtId="0" fontId="11" fillId="4" borderId="45" xfId="1" applyNumberFormat="1" applyFont="1" applyFill="1" applyBorder="1" applyAlignment="1" applyProtection="1">
      <alignment horizontal="left" vertical="center" wrapText="1"/>
      <protection locked="0"/>
    </xf>
    <xf numFmtId="0" fontId="11" fillId="4" borderId="43" xfId="1" applyNumberFormat="1" applyFont="1" applyFill="1" applyBorder="1" applyAlignment="1" applyProtection="1">
      <alignment horizontal="left" vertical="center" wrapText="1"/>
      <protection locked="0"/>
    </xf>
    <xf numFmtId="0" fontId="11" fillId="4" borderId="42" xfId="1" applyNumberFormat="1" applyFont="1" applyFill="1" applyBorder="1" applyAlignment="1" applyProtection="1">
      <alignment horizontal="left" vertical="center" wrapText="1"/>
      <protection locked="0"/>
    </xf>
    <xf numFmtId="0" fontId="11" fillId="4" borderId="3" xfId="1" applyNumberFormat="1" applyFont="1" applyFill="1" applyBorder="1" applyAlignment="1" applyProtection="1">
      <alignment horizontal="left" vertical="center" wrapText="1"/>
      <protection locked="0"/>
    </xf>
    <xf numFmtId="0" fontId="0" fillId="0" borderId="63" xfId="0" applyBorder="1" applyAlignment="1">
      <alignment horizontal="left" vertical="center" wrapText="1"/>
    </xf>
    <xf numFmtId="0" fontId="13" fillId="14" borderId="49" xfId="0" applyFont="1" applyFill="1" applyBorder="1" applyAlignment="1">
      <alignment horizontal="center" vertical="top" wrapText="1"/>
    </xf>
    <xf numFmtId="0" fontId="13" fillId="14" borderId="51" xfId="0" applyFont="1" applyFill="1" applyBorder="1" applyAlignment="1">
      <alignment horizontal="center" vertical="top" wrapText="1"/>
    </xf>
    <xf numFmtId="0" fontId="9" fillId="14" borderId="49" xfId="0" applyFont="1" applyFill="1" applyBorder="1" applyAlignment="1">
      <alignment horizontal="center" vertical="top" wrapText="1"/>
    </xf>
    <xf numFmtId="0" fontId="9" fillId="14" borderId="51" xfId="0" applyFont="1" applyFill="1" applyBorder="1" applyAlignment="1">
      <alignment horizontal="center" vertical="top" wrapText="1"/>
    </xf>
    <xf numFmtId="0" fontId="9" fillId="14" borderId="70" xfId="0" applyFont="1" applyFill="1" applyBorder="1" applyAlignment="1">
      <alignment horizontal="center" vertical="top" wrapText="1"/>
    </xf>
    <xf numFmtId="0" fontId="13" fillId="7" borderId="56" xfId="0" applyFont="1" applyFill="1" applyBorder="1" applyAlignment="1">
      <alignment horizontal="center" vertical="top" wrapText="1"/>
    </xf>
    <xf numFmtId="0" fontId="13" fillId="7" borderId="52" xfId="0" applyFont="1" applyFill="1" applyBorder="1" applyAlignment="1">
      <alignment horizontal="center" vertical="top" wrapText="1"/>
    </xf>
    <xf numFmtId="0" fontId="13" fillId="7" borderId="57" xfId="0" applyFont="1" applyFill="1" applyBorder="1" applyAlignment="1">
      <alignment horizontal="center" vertical="top" wrapText="1"/>
    </xf>
    <xf numFmtId="0" fontId="11" fillId="5" borderId="53" xfId="1" applyNumberFormat="1" applyFont="1" applyFill="1" applyBorder="1" applyAlignment="1" applyProtection="1">
      <alignment horizontal="left" vertical="center" wrapText="1"/>
    </xf>
    <xf numFmtId="0" fontId="11" fillId="5" borderId="54" xfId="1" applyNumberFormat="1" applyFont="1" applyFill="1" applyBorder="1" applyAlignment="1" applyProtection="1">
      <alignment horizontal="left" vertical="center" wrapText="1"/>
    </xf>
    <xf numFmtId="0" fontId="9" fillId="14" borderId="52" xfId="0" applyFont="1" applyFill="1" applyBorder="1" applyAlignment="1">
      <alignment horizontal="center" vertical="center" wrapText="1"/>
    </xf>
    <xf numFmtId="0" fontId="11" fillId="5" borderId="59" xfId="1" applyNumberFormat="1" applyFont="1" applyFill="1" applyBorder="1" applyAlignment="1" applyProtection="1">
      <alignment horizontal="left" vertical="center" wrapText="1"/>
    </xf>
    <xf numFmtId="0" fontId="11" fillId="5" borderId="64" xfId="1" applyNumberFormat="1" applyFont="1" applyFill="1" applyBorder="1" applyAlignment="1" applyProtection="1">
      <alignment horizontal="left" vertical="center" wrapText="1"/>
    </xf>
    <xf numFmtId="0" fontId="11" fillId="5" borderId="52" xfId="1" applyNumberFormat="1" applyFont="1" applyFill="1" applyBorder="1" applyAlignment="1" applyProtection="1">
      <alignment horizontal="left" vertical="center" wrapText="1"/>
    </xf>
    <xf numFmtId="0" fontId="11" fillId="5" borderId="57" xfId="1" applyNumberFormat="1" applyFont="1" applyFill="1" applyBorder="1" applyAlignment="1" applyProtection="1">
      <alignment horizontal="left" vertical="center" wrapText="1"/>
    </xf>
    <xf numFmtId="0" fontId="13" fillId="7" borderId="63" xfId="0" applyFont="1" applyFill="1" applyBorder="1" applyAlignment="1">
      <alignment horizontal="center" vertical="center" wrapText="1"/>
    </xf>
    <xf numFmtId="0" fontId="13" fillId="7" borderId="54" xfId="0" applyFont="1" applyFill="1" applyBorder="1" applyAlignment="1">
      <alignment horizontal="center" vertical="center" wrapText="1"/>
    </xf>
    <xf numFmtId="0" fontId="13" fillId="7" borderId="64" xfId="0" applyFont="1" applyFill="1" applyBorder="1" applyAlignment="1">
      <alignment horizontal="center" vertical="center" wrapText="1"/>
    </xf>
    <xf numFmtId="0" fontId="9" fillId="14" borderId="57"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9" xfId="0" applyFont="1" applyFill="1" applyBorder="1" applyAlignment="1">
      <alignment horizontal="center" vertical="top" wrapText="1"/>
    </xf>
    <xf numFmtId="0" fontId="6" fillId="3" borderId="6" xfId="0" applyFont="1" applyFill="1" applyBorder="1" applyAlignment="1">
      <alignment horizontal="center" vertical="top" wrapText="1"/>
    </xf>
    <xf numFmtId="0" fontId="20" fillId="2" borderId="0" xfId="3" quotePrefix="1" applyFont="1" applyFill="1" applyAlignment="1">
      <alignment horizontal="left"/>
    </xf>
    <xf numFmtId="0" fontId="21" fillId="2" borderId="10" xfId="0" applyFont="1" applyFill="1" applyBorder="1" applyAlignment="1">
      <alignment horizontal="center"/>
    </xf>
    <xf numFmtId="0" fontId="24" fillId="0" borderId="16" xfId="0" applyFont="1" applyBorder="1" applyAlignment="1">
      <alignment horizontal="center"/>
    </xf>
    <xf numFmtId="0" fontId="24" fillId="2" borderId="16" xfId="0" applyFont="1" applyFill="1" applyBorder="1" applyAlignment="1">
      <alignment horizontal="center"/>
    </xf>
    <xf numFmtId="0" fontId="20" fillId="2" borderId="0" xfId="3" applyFont="1" applyFill="1" applyAlignment="1">
      <alignment horizontal="left" wrapText="1" indent="1"/>
    </xf>
    <xf numFmtId="166" fontId="24" fillId="2" borderId="0" xfId="6" applyNumberFormat="1" applyFont="1" applyFill="1" applyBorder="1" applyAlignment="1">
      <alignment horizontal="center"/>
    </xf>
    <xf numFmtId="0" fontId="14" fillId="2" borderId="0" xfId="0" applyFont="1" applyFill="1" applyAlignment="1">
      <alignment horizontal="left" vertical="top" wrapText="1" indent="3"/>
    </xf>
    <xf numFmtId="0" fontId="24" fillId="2" borderId="10" xfId="0" applyFont="1" applyFill="1" applyBorder="1" applyAlignment="1">
      <alignment horizontal="center"/>
    </xf>
    <xf numFmtId="166" fontId="24" fillId="2" borderId="9" xfId="0" applyNumberFormat="1" applyFont="1" applyFill="1" applyBorder="1" applyAlignment="1">
      <alignment horizontal="center"/>
    </xf>
    <xf numFmtId="0" fontId="20" fillId="8" borderId="0" xfId="0" applyFont="1" applyFill="1" applyAlignment="1">
      <alignment horizontal="left" indent="1"/>
    </xf>
    <xf numFmtId="0" fontId="20" fillId="2" borderId="0" xfId="0" applyFont="1" applyFill="1" applyAlignment="1">
      <alignment horizontal="left"/>
    </xf>
    <xf numFmtId="0" fontId="24" fillId="27" borderId="92" xfId="9" applyFont="1" applyFill="1" applyBorder="1" applyAlignment="1">
      <alignment horizontal="center"/>
    </xf>
    <xf numFmtId="0" fontId="24" fillId="27" borderId="93" xfId="9" applyFont="1" applyFill="1" applyBorder="1" applyAlignment="1">
      <alignment horizontal="center"/>
    </xf>
    <xf numFmtId="0" fontId="24" fillId="28" borderId="92" xfId="9" applyFont="1" applyFill="1" applyBorder="1" applyAlignment="1">
      <alignment horizontal="center"/>
    </xf>
    <xf numFmtId="0" fontId="24" fillId="28" borderId="93" xfId="9" applyFont="1" applyFill="1" applyBorder="1" applyAlignment="1">
      <alignment horizontal="center"/>
    </xf>
    <xf numFmtId="0" fontId="14" fillId="0" borderId="28" xfId="0" applyFont="1" applyBorder="1" applyAlignment="1">
      <alignment horizontal="center"/>
    </xf>
    <xf numFmtId="0" fontId="14" fillId="0" borderId="29" xfId="0" applyFont="1" applyBorder="1" applyAlignment="1">
      <alignment horizontal="center"/>
    </xf>
    <xf numFmtId="0" fontId="14" fillId="0" borderId="11" xfId="0" applyFont="1" applyBorder="1" applyAlignment="1">
      <alignment horizontal="center"/>
    </xf>
    <xf numFmtId="0" fontId="14" fillId="0" borderId="2" xfId="0" applyFont="1" applyBorder="1" applyAlignment="1">
      <alignment horizontal="center"/>
    </xf>
    <xf numFmtId="166" fontId="16" fillId="3" borderId="13" xfId="0" applyNumberFormat="1" applyFont="1" applyFill="1" applyBorder="1" applyAlignment="1">
      <alignment horizontal="center"/>
    </xf>
    <xf numFmtId="166" fontId="16" fillId="3" borderId="26" xfId="0" applyNumberFormat="1" applyFont="1" applyFill="1" applyBorder="1" applyAlignment="1">
      <alignment horizontal="center"/>
    </xf>
    <xf numFmtId="166" fontId="24" fillId="0" borderId="0" xfId="6" applyNumberFormat="1" applyFont="1" applyFill="1" applyBorder="1" applyAlignment="1">
      <alignment horizontal="center"/>
    </xf>
  </cellXfs>
  <cellStyles count="10">
    <cellStyle name="Comma" xfId="6" builtinId="3"/>
    <cellStyle name="Comma 10 3" xfId="5" xr:uid="{1C1C1E5E-DA75-4111-AA7F-2BDC6B541EAC}"/>
    <cellStyle name="Comma 15 10" xfId="1" xr:uid="{5C0DDD7C-55E9-417D-A5C9-37D88B66CDE7}"/>
    <cellStyle name="Comma 30" xfId="4" xr:uid="{E12EA4D7-D871-4179-ACCC-48CBA8F13510}"/>
    <cellStyle name="Normal" xfId="0" builtinId="0"/>
    <cellStyle name="Normal 2" xfId="3" xr:uid="{38ACC904-0B6B-43AA-9FC0-BBD39D04CEF9}"/>
    <cellStyle name="Normal_Julie" xfId="8" xr:uid="{6FFE1784-EE0D-4DE8-9E12-0B014C7E7322}"/>
    <cellStyle name="Normal_Production" xfId="9" xr:uid="{8A983AED-E718-44B1-935F-65C0346CDE8A}"/>
    <cellStyle name="Normal_Sheet1" xfId="7" xr:uid="{58DF4372-3AE4-4C7B-83E5-D28E29597399}"/>
    <cellStyle name="Percent 12 10" xfId="2" xr:uid="{87D23698-5F6B-4E01-8AA5-696A8B18AB2A}"/>
  </cellStyles>
  <dxfs count="5">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s>
  <tableStyles count="0" defaultTableStyle="TableStyleMedium2" defaultPivotStyle="PivotStyleLight16"/>
  <colors>
    <mruColors>
      <color rgb="FF963634"/>
      <color rgb="FFE6B8B7"/>
      <color rgb="FFF2DCDB"/>
      <color rgb="FFEBF1DE"/>
      <color rgb="FFC4D79B"/>
      <color rgb="FFE4DFE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431AE4DE-768C-4D57-94EE-4D959E3068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361950"/>
          <a:ext cx="0" cy="542925"/>
        </a:xfrm>
        <a:prstGeom prst="rect">
          <a:avLst/>
        </a:prstGeom>
      </xdr:spPr>
    </xdr:pic>
    <xdr:clientData/>
  </xdr:twoCellAnchor>
  <xdr:twoCellAnchor editAs="oneCell">
    <xdr:from>
      <xdr:col>10</xdr:col>
      <xdr:colOff>355600</xdr:colOff>
      <xdr:row>0</xdr:row>
      <xdr:rowOff>0</xdr:rowOff>
    </xdr:from>
    <xdr:to>
      <xdr:col>12</xdr:col>
      <xdr:colOff>0</xdr:colOff>
      <xdr:row>2</xdr:row>
      <xdr:rowOff>111126</xdr:rowOff>
    </xdr:to>
    <xdr:pic>
      <xdr:nvPicPr>
        <xdr:cNvPr id="8" name="Picture 7">
          <a:extLst>
            <a:ext uri="{FF2B5EF4-FFF2-40B4-BE49-F238E27FC236}">
              <a16:creationId xmlns:a16="http://schemas.microsoft.com/office/drawing/2014/main" id="{235C8A21-11AE-46FA-AC35-E1E9D8FD9EDD}"/>
            </a:ext>
          </a:extLst>
        </xdr:cNvPr>
        <xdr:cNvPicPr>
          <a:picLocks noChangeAspect="1"/>
        </xdr:cNvPicPr>
      </xdr:nvPicPr>
      <xdr:blipFill rotWithShape="1">
        <a:blip xmlns:r="http://schemas.openxmlformats.org/officeDocument/2006/relationships" r:embed="rId2"/>
        <a:srcRect l="2122" t="11760" r="2122" b="10205"/>
        <a:stretch/>
      </xdr:blipFill>
      <xdr:spPr>
        <a:xfrm>
          <a:off x="9620250" y="0"/>
          <a:ext cx="1651000"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417CD08-02B5-4EDC-AB7D-A567CE7025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A595B6B-A6B1-4AC5-800A-BF66C562FC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C28A2D7-4C43-4696-AA97-43D47D9A41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F3A9EBA-AE4A-4D1F-95D5-945B9A3689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0" y="182880"/>
          <a:ext cx="0" cy="73152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CF254C2D-61EE-4010-80D5-F4F4B5C6D8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0" y="365760"/>
          <a:ext cx="0" cy="54864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A1A01E3-624E-4F2B-AD5F-F5AF72B941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78240" y="182880"/>
          <a:ext cx="0" cy="7315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4C7C55A-C696-4615-8397-B58674F809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28960" y="219456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234726F2-F538-49A4-8AA0-BCC90525A4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28960" y="219456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048A12E-35E6-42A9-9963-484D2BD652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63300" y="2194560"/>
          <a:ext cx="0" cy="182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5718619-F0F4-4DFF-923A-50D2517F48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A8945B3-7E82-4292-BA1D-19C12440CA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16379716-7559-4618-A988-14495A8410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2E489D9-15C6-4A05-A4B4-B7036FBAB2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FB5991B1-87B5-494D-ACB0-1725620529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465C7C65-B2AA-41A5-9A8C-1594FC8C32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BC777-DDFA-49B8-B28C-109D8B262657}">
  <sheetPr>
    <tabColor rgb="FFFFC000"/>
  </sheetPr>
  <dimension ref="A1:N67"/>
  <sheetViews>
    <sheetView showGridLines="0" workbookViewId="0">
      <selection activeCell="B3" sqref="B3"/>
    </sheetView>
  </sheetViews>
  <sheetFormatPr defaultColWidth="9.140625" defaultRowHeight="14.25" x14ac:dyDescent="0.25"/>
  <cols>
    <col min="1" max="1" width="24.42578125" style="165" bestFit="1" customWidth="1"/>
    <col min="2" max="2" width="72.7109375" style="152" customWidth="1"/>
    <col min="3" max="3" width="26" style="152" customWidth="1"/>
    <col min="4" max="4" width="12.42578125" style="152" bestFit="1" customWidth="1"/>
    <col min="5" max="5" width="9.140625" style="152"/>
    <col min="6" max="6" width="9.140625" style="152" customWidth="1"/>
    <col min="7" max="16384" width="9.140625" style="152"/>
  </cols>
  <sheetData>
    <row r="1" spans="1:11" s="196" customFormat="1" x14ac:dyDescent="0.25">
      <c r="A1" s="196" t="s">
        <v>172</v>
      </c>
      <c r="B1" s="196" t="s">
        <v>166</v>
      </c>
      <c r="C1" s="196" t="s">
        <v>173</v>
      </c>
      <c r="F1" s="196" t="s">
        <v>332</v>
      </c>
    </row>
    <row r="2" spans="1:11" x14ac:dyDescent="0.25">
      <c r="A2" s="165" t="s">
        <v>174</v>
      </c>
      <c r="B2" s="152" t="s">
        <v>1071</v>
      </c>
      <c r="C2" s="152" t="str">
        <f>B2</f>
        <v>NQ-2026-004</v>
      </c>
      <c r="F2" s="152" t="s">
        <v>430</v>
      </c>
    </row>
    <row r="3" spans="1:11" x14ac:dyDescent="0.25">
      <c r="A3" s="165" t="s">
        <v>175</v>
      </c>
      <c r="B3" s="2" t="s">
        <v>822</v>
      </c>
      <c r="C3" s="2" t="s">
        <v>866</v>
      </c>
      <c r="F3" s="152" t="s">
        <v>562</v>
      </c>
    </row>
    <row r="4" spans="1:11" x14ac:dyDescent="0.25">
      <c r="A4" s="165" t="s">
        <v>359</v>
      </c>
      <c r="B4" s="152" t="s">
        <v>823</v>
      </c>
      <c r="C4" s="152" t="s">
        <v>824</v>
      </c>
      <c r="F4" s="152" t="s">
        <v>563</v>
      </c>
    </row>
    <row r="5" spans="1:11" ht="28.5" x14ac:dyDescent="0.25">
      <c r="A5" s="193" t="s">
        <v>601</v>
      </c>
      <c r="B5" s="152" t="s">
        <v>825</v>
      </c>
      <c r="C5" s="152" t="s">
        <v>826</v>
      </c>
      <c r="D5" s="152" t="s">
        <v>827</v>
      </c>
    </row>
    <row r="6" spans="1:11" x14ac:dyDescent="0.25">
      <c r="A6" s="166" t="s">
        <v>571</v>
      </c>
      <c r="B6" s="285">
        <f>B8-3</f>
        <v>2023</v>
      </c>
      <c r="C6" s="285">
        <f>B6</f>
        <v>2023</v>
      </c>
      <c r="F6" s="195" t="s">
        <v>617</v>
      </c>
    </row>
    <row r="7" spans="1:11" x14ac:dyDescent="0.25">
      <c r="A7" s="166" t="s">
        <v>572</v>
      </c>
      <c r="B7" s="286" t="s">
        <v>857</v>
      </c>
      <c r="C7" s="2" t="s">
        <v>858</v>
      </c>
      <c r="F7" s="152" t="s">
        <v>715</v>
      </c>
    </row>
    <row r="8" spans="1:11" x14ac:dyDescent="0.25">
      <c r="A8" s="166" t="s">
        <v>573</v>
      </c>
      <c r="B8" s="285">
        <f>YEAR(B11)</f>
        <v>2026</v>
      </c>
      <c r="C8" s="285">
        <f>B8</f>
        <v>2026</v>
      </c>
      <c r="F8" s="152" t="s">
        <v>716</v>
      </c>
    </row>
    <row r="9" spans="1:11" x14ac:dyDescent="0.25">
      <c r="A9" s="165" t="s">
        <v>564</v>
      </c>
      <c r="B9" s="2" t="s">
        <v>859</v>
      </c>
      <c r="C9" s="2" t="s">
        <v>861</v>
      </c>
      <c r="F9" s="167" t="s">
        <v>618</v>
      </c>
    </row>
    <row r="10" spans="1:11" x14ac:dyDescent="0.25">
      <c r="A10" s="165" t="s">
        <v>565</v>
      </c>
      <c r="B10" s="2" t="s">
        <v>860</v>
      </c>
      <c r="C10" s="2" t="s">
        <v>862</v>
      </c>
    </row>
    <row r="11" spans="1:11" x14ac:dyDescent="0.25">
      <c r="A11" s="165" t="s">
        <v>317</v>
      </c>
      <c r="B11" s="293" t="s">
        <v>1046</v>
      </c>
      <c r="C11" s="294" t="s">
        <v>1047</v>
      </c>
      <c r="I11" s="152" t="s">
        <v>786</v>
      </c>
      <c r="J11" s="152" t="s">
        <v>787</v>
      </c>
      <c r="K11" s="152" t="s">
        <v>788</v>
      </c>
    </row>
    <row r="12" spans="1:11" x14ac:dyDescent="0.25">
      <c r="I12" s="152" t="s">
        <v>774</v>
      </c>
      <c r="J12" s="152" t="s">
        <v>782</v>
      </c>
      <c r="K12" s="287" t="s">
        <v>782</v>
      </c>
    </row>
    <row r="13" spans="1:11" x14ac:dyDescent="0.25">
      <c r="A13" s="165" t="s">
        <v>603</v>
      </c>
      <c r="B13" s="152" t="s">
        <v>828</v>
      </c>
      <c r="C13" s="152" t="s">
        <v>829</v>
      </c>
      <c r="D13" s="152" t="s">
        <v>830</v>
      </c>
      <c r="I13" s="152" t="s">
        <v>775</v>
      </c>
      <c r="J13" s="152" t="s">
        <v>783</v>
      </c>
      <c r="K13" s="152" t="s">
        <v>782</v>
      </c>
    </row>
    <row r="14" spans="1:11" x14ac:dyDescent="0.25">
      <c r="A14" s="165" t="s">
        <v>604</v>
      </c>
      <c r="B14" s="152" t="s">
        <v>831</v>
      </c>
      <c r="C14" s="152" t="s">
        <v>832</v>
      </c>
      <c r="D14" s="152" t="s">
        <v>833</v>
      </c>
      <c r="I14" s="152" t="s">
        <v>776</v>
      </c>
      <c r="J14" s="152" t="s">
        <v>784</v>
      </c>
      <c r="K14" s="152" t="s">
        <v>782</v>
      </c>
    </row>
    <row r="15" spans="1:11" x14ac:dyDescent="0.25">
      <c r="A15" s="165" t="s">
        <v>873</v>
      </c>
      <c r="B15" s="152" t="s">
        <v>874</v>
      </c>
      <c r="C15" s="152" t="s">
        <v>875</v>
      </c>
      <c r="D15" s="152" t="s">
        <v>889</v>
      </c>
      <c r="I15" s="152" t="s">
        <v>777</v>
      </c>
      <c r="J15" s="152" t="s">
        <v>785</v>
      </c>
      <c r="K15" s="152" t="s">
        <v>785</v>
      </c>
    </row>
    <row r="16" spans="1:11" ht="409.5" x14ac:dyDescent="0.25">
      <c r="A16" s="165" t="s">
        <v>319</v>
      </c>
      <c r="B16" s="171" t="s">
        <v>884</v>
      </c>
      <c r="C16" s="171" t="s">
        <v>834</v>
      </c>
      <c r="I16" s="152" t="s">
        <v>778</v>
      </c>
      <c r="J16" s="152" t="s">
        <v>774</v>
      </c>
      <c r="K16" s="152" t="s">
        <v>785</v>
      </c>
    </row>
    <row r="17" spans="1:11" x14ac:dyDescent="0.25">
      <c r="A17" s="194" t="s">
        <v>602</v>
      </c>
      <c r="B17" s="2" t="s">
        <v>835</v>
      </c>
      <c r="C17" s="2" t="s">
        <v>836</v>
      </c>
      <c r="I17" s="152" t="s">
        <v>779</v>
      </c>
      <c r="J17" s="152" t="s">
        <v>775</v>
      </c>
      <c r="K17" s="152" t="s">
        <v>785</v>
      </c>
    </row>
    <row r="18" spans="1:11" x14ac:dyDescent="0.25">
      <c r="I18" s="152" t="s">
        <v>780</v>
      </c>
      <c r="J18" s="152" t="s">
        <v>776</v>
      </c>
      <c r="K18" s="152" t="s">
        <v>776</v>
      </c>
    </row>
    <row r="19" spans="1:11" x14ac:dyDescent="0.25">
      <c r="A19" s="165" t="s">
        <v>327</v>
      </c>
      <c r="B19" s="169" t="s">
        <v>570</v>
      </c>
      <c r="C19" s="169" t="s">
        <v>570</v>
      </c>
      <c r="I19" s="152" t="s">
        <v>781</v>
      </c>
      <c r="J19" s="152" t="s">
        <v>777</v>
      </c>
      <c r="K19" s="152" t="s">
        <v>776</v>
      </c>
    </row>
    <row r="20" spans="1:11" ht="213.75" x14ac:dyDescent="0.25">
      <c r="A20" s="165" t="s">
        <v>328</v>
      </c>
      <c r="B20" s="295" t="s">
        <v>841</v>
      </c>
      <c r="C20" s="295" t="s">
        <v>842</v>
      </c>
      <c r="I20" s="152" t="s">
        <v>782</v>
      </c>
      <c r="J20" s="152" t="s">
        <v>778</v>
      </c>
      <c r="K20" s="152" t="s">
        <v>776</v>
      </c>
    </row>
    <row r="21" spans="1:11" x14ac:dyDescent="0.25">
      <c r="A21" s="165" t="s">
        <v>329</v>
      </c>
      <c r="B21" s="169" t="s">
        <v>569</v>
      </c>
      <c r="I21" s="152" t="s">
        <v>783</v>
      </c>
      <c r="J21" s="152" t="s">
        <v>779</v>
      </c>
      <c r="K21" s="152" t="s">
        <v>779</v>
      </c>
    </row>
    <row r="22" spans="1:11" x14ac:dyDescent="0.25">
      <c r="I22" s="152" t="s">
        <v>784</v>
      </c>
      <c r="J22" s="152" t="s">
        <v>780</v>
      </c>
      <c r="K22" s="152" t="s">
        <v>779</v>
      </c>
    </row>
    <row r="23" spans="1:11" x14ac:dyDescent="0.25">
      <c r="A23" s="165" t="s">
        <v>605</v>
      </c>
      <c r="B23" s="2" t="s">
        <v>837</v>
      </c>
      <c r="C23" s="2" t="s">
        <v>838</v>
      </c>
      <c r="I23" s="152" t="s">
        <v>785</v>
      </c>
      <c r="J23" s="152" t="s">
        <v>781</v>
      </c>
      <c r="K23" s="152" t="s">
        <v>779</v>
      </c>
    </row>
    <row r="24" spans="1:11" x14ac:dyDescent="0.25">
      <c r="A24" s="165" t="s">
        <v>606</v>
      </c>
      <c r="B24" s="2" t="s">
        <v>837</v>
      </c>
      <c r="C24" s="2" t="s">
        <v>838</v>
      </c>
    </row>
    <row r="26" spans="1:11" x14ac:dyDescent="0.25">
      <c r="A26" s="165" t="s">
        <v>195</v>
      </c>
      <c r="B26" s="2" t="s">
        <v>607</v>
      </c>
      <c r="C26" s="2" t="s">
        <v>608</v>
      </c>
    </row>
    <row r="27" spans="1:11" x14ac:dyDescent="0.25">
      <c r="A27" s="165" t="s">
        <v>568</v>
      </c>
      <c r="B27" s="2" t="s">
        <v>876</v>
      </c>
      <c r="C27" s="2" t="s">
        <v>877</v>
      </c>
    </row>
    <row r="28" spans="1:11" x14ac:dyDescent="0.25">
      <c r="B28" s="152" t="s">
        <v>839</v>
      </c>
      <c r="C28" s="152" t="s">
        <v>840</v>
      </c>
    </row>
    <row r="29" spans="1:11" x14ac:dyDescent="0.25">
      <c r="A29" s="165" t="s">
        <v>609</v>
      </c>
      <c r="B29" s="2" t="s">
        <v>1028</v>
      </c>
      <c r="C29" s="566" t="s">
        <v>1029</v>
      </c>
    </row>
    <row r="30" spans="1:11" ht="15" customHeight="1" x14ac:dyDescent="0.25">
      <c r="A30" s="165" t="s">
        <v>610</v>
      </c>
      <c r="B30" s="2" t="s">
        <v>1030</v>
      </c>
      <c r="C30" s="2" t="s">
        <v>1031</v>
      </c>
    </row>
    <row r="31" spans="1:11" ht="15" customHeight="1" x14ac:dyDescent="0.25">
      <c r="A31" s="165" t="s">
        <v>611</v>
      </c>
      <c r="B31" s="2" t="s">
        <v>1032</v>
      </c>
      <c r="C31" s="2" t="s">
        <v>1033</v>
      </c>
    </row>
    <row r="32" spans="1:11" ht="15" customHeight="1" x14ac:dyDescent="0.25">
      <c r="A32" s="165" t="s">
        <v>612</v>
      </c>
      <c r="B32" s="2" t="s">
        <v>1034</v>
      </c>
      <c r="C32" s="2" t="s">
        <v>1035</v>
      </c>
    </row>
    <row r="33" spans="1:14" ht="15" customHeight="1" x14ac:dyDescent="0.25">
      <c r="A33" s="165" t="s">
        <v>613</v>
      </c>
      <c r="B33" s="2" t="s">
        <v>1036</v>
      </c>
      <c r="C33" s="2" t="s">
        <v>1037</v>
      </c>
    </row>
    <row r="34" spans="1:14" ht="15" customHeight="1" x14ac:dyDescent="0.25">
      <c r="A34" s="165" t="s">
        <v>614</v>
      </c>
      <c r="B34" s="2" t="s">
        <v>1038</v>
      </c>
      <c r="C34" s="2" t="s">
        <v>1039</v>
      </c>
    </row>
    <row r="35" spans="1:14" ht="15" customHeight="1" x14ac:dyDescent="0.25">
      <c r="A35" s="165" t="s">
        <v>615</v>
      </c>
      <c r="B35" s="2" t="s">
        <v>1040</v>
      </c>
      <c r="C35" s="2" t="s">
        <v>1041</v>
      </c>
    </row>
    <row r="36" spans="1:14" ht="15" customHeight="1" x14ac:dyDescent="0.25">
      <c r="A36" s="165" t="s">
        <v>616</v>
      </c>
      <c r="B36" s="2" t="s">
        <v>1042</v>
      </c>
      <c r="C36" s="2" t="s">
        <v>1043</v>
      </c>
    </row>
    <row r="37" spans="1:14" ht="15" customHeight="1" x14ac:dyDescent="0.25">
      <c r="A37" s="165" t="s">
        <v>1016</v>
      </c>
      <c r="B37" s="2" t="s">
        <v>1044</v>
      </c>
      <c r="C37" s="2" t="s">
        <v>1045</v>
      </c>
    </row>
    <row r="38" spans="1:14" x14ac:dyDescent="0.25">
      <c r="A38" s="166" t="s">
        <v>762</v>
      </c>
      <c r="B38" s="167">
        <v>1</v>
      </c>
      <c r="C38" s="167">
        <v>1</v>
      </c>
    </row>
    <row r="39" spans="1:14" ht="15" customHeight="1" x14ac:dyDescent="0.25">
      <c r="A39" s="165" t="s">
        <v>754</v>
      </c>
      <c r="B39" s="2" t="str">
        <f t="shared" ref="B39:B44" si="0">IF(MID(B40,2,1)&lt;&gt;"1","Q"&amp;MID(B40,2,1)-1&amp;" - "&amp;MID(B40,6,4),"Q4 - "&amp;MID(B40,6,4)-1)</f>
        <v>Q2 - 2024</v>
      </c>
      <c r="C39" s="2" t="str">
        <f t="shared" ref="C39:C44" si="1">IF(MID(C40,2,1)&lt;&gt;"1","T"&amp;MID(C40,2,1)-1&amp;" - "&amp;MID(C40,6,4),"T4 - "&amp;MID(C40,6,4)-1)</f>
        <v>T2 - 2024</v>
      </c>
    </row>
    <row r="40" spans="1:14" ht="15" customHeight="1" x14ac:dyDescent="0.25">
      <c r="A40" s="165" t="s">
        <v>755</v>
      </c>
      <c r="B40" s="2" t="str">
        <f t="shared" si="0"/>
        <v>Q3 - 2024</v>
      </c>
      <c r="C40" s="2" t="str">
        <f t="shared" si="1"/>
        <v>T3 - 2024</v>
      </c>
      <c r="F40" s="192">
        <v>1</v>
      </c>
      <c r="G40" s="192">
        <v>2</v>
      </c>
      <c r="H40" s="192">
        <v>3</v>
      </c>
      <c r="I40" s="192">
        <v>4</v>
      </c>
      <c r="J40" s="192">
        <v>5</v>
      </c>
      <c r="K40" s="192">
        <v>6</v>
      </c>
      <c r="L40" s="192">
        <v>7</v>
      </c>
      <c r="M40" s="192">
        <v>8</v>
      </c>
    </row>
    <row r="41" spans="1:14" ht="15" customHeight="1" x14ac:dyDescent="0.25">
      <c r="A41" s="165" t="s">
        <v>756</v>
      </c>
      <c r="B41" s="2" t="str">
        <f t="shared" si="0"/>
        <v>Q4 - 2024</v>
      </c>
      <c r="C41" s="2" t="str">
        <f t="shared" si="1"/>
        <v>T4 - 2024</v>
      </c>
      <c r="F41" s="282" t="s">
        <v>767</v>
      </c>
      <c r="G41" s="282" t="s">
        <v>768</v>
      </c>
      <c r="H41" s="282" t="s">
        <v>769</v>
      </c>
      <c r="I41" s="284" t="s">
        <v>766</v>
      </c>
      <c r="J41" s="284" t="s">
        <v>767</v>
      </c>
      <c r="K41" s="284" t="s">
        <v>768</v>
      </c>
      <c r="L41" s="284" t="s">
        <v>769</v>
      </c>
      <c r="M41" s="284" t="s">
        <v>766</v>
      </c>
      <c r="N41" s="152" t="s">
        <v>770</v>
      </c>
    </row>
    <row r="42" spans="1:14" ht="15" customHeight="1" x14ac:dyDescent="0.25">
      <c r="A42" s="165" t="s">
        <v>757</v>
      </c>
      <c r="B42" s="2" t="str">
        <f t="shared" si="0"/>
        <v>Q1 - 2025</v>
      </c>
      <c r="C42" s="2" t="str">
        <f t="shared" si="1"/>
        <v>T1 - 2025</v>
      </c>
      <c r="F42" s="282" t="s">
        <v>768</v>
      </c>
      <c r="G42" s="282" t="s">
        <v>769</v>
      </c>
      <c r="H42" s="284" t="s">
        <v>766</v>
      </c>
      <c r="I42" s="284" t="s">
        <v>767</v>
      </c>
      <c r="J42" s="284" t="s">
        <v>768</v>
      </c>
      <c r="K42" s="284" t="s">
        <v>769</v>
      </c>
      <c r="L42" s="283" t="s">
        <v>766</v>
      </c>
      <c r="M42" s="283" t="s">
        <v>767</v>
      </c>
      <c r="N42" s="152" t="s">
        <v>771</v>
      </c>
    </row>
    <row r="43" spans="1:14" ht="15" customHeight="1" x14ac:dyDescent="0.25">
      <c r="A43" s="165" t="s">
        <v>758</v>
      </c>
      <c r="B43" s="2" t="str">
        <f t="shared" si="0"/>
        <v>Q2 - 2025</v>
      </c>
      <c r="C43" s="2" t="str">
        <f t="shared" si="1"/>
        <v>T2 - 2025</v>
      </c>
      <c r="F43" s="282" t="s">
        <v>769</v>
      </c>
      <c r="G43" s="284" t="s">
        <v>766</v>
      </c>
      <c r="H43" s="284" t="s">
        <v>767</v>
      </c>
      <c r="I43" s="284" t="s">
        <v>768</v>
      </c>
      <c r="J43" s="284" t="s">
        <v>769</v>
      </c>
      <c r="K43" s="283" t="s">
        <v>766</v>
      </c>
      <c r="L43" s="283" t="s">
        <v>767</v>
      </c>
      <c r="M43" s="283" t="s">
        <v>768</v>
      </c>
      <c r="N43" s="152" t="s">
        <v>772</v>
      </c>
    </row>
    <row r="44" spans="1:14" ht="15" customHeight="1" x14ac:dyDescent="0.25">
      <c r="A44" s="165" t="s">
        <v>759</v>
      </c>
      <c r="B44" s="2" t="str">
        <f t="shared" si="0"/>
        <v>Q3 - 2025</v>
      </c>
      <c r="C44" s="2" t="str">
        <f t="shared" si="1"/>
        <v>T3 - 2025</v>
      </c>
      <c r="F44" s="284" t="s">
        <v>766</v>
      </c>
      <c r="G44" s="284" t="s">
        <v>767</v>
      </c>
      <c r="H44" s="284" t="s">
        <v>768</v>
      </c>
      <c r="I44" s="284" t="s">
        <v>769</v>
      </c>
      <c r="J44" s="283" t="s">
        <v>766</v>
      </c>
      <c r="K44" s="283" t="s">
        <v>767</v>
      </c>
      <c r="L44" s="283" t="s">
        <v>768</v>
      </c>
      <c r="M44" s="283" t="s">
        <v>769</v>
      </c>
      <c r="N44" s="152" t="s">
        <v>773</v>
      </c>
    </row>
    <row r="45" spans="1:14" ht="15" customHeight="1" x14ac:dyDescent="0.25">
      <c r="A45" s="165" t="s">
        <v>760</v>
      </c>
      <c r="B45" s="2" t="str">
        <f>IF(MID(B46,2,1)&lt;&gt;"1","Q"&amp;MID(B46,2,1)-1&amp;" - "&amp;MID(B46,6,4),"Q4 - "&amp;MID(B46,6,4)-1)</f>
        <v>Q4 - 2025</v>
      </c>
      <c r="C45" s="2" t="str">
        <f>IF(MID(C46,2,1)&lt;&gt;"1","T"&amp;MID(C46,2,1)-1&amp;" - "&amp;MID(C46,6,4),"T4 - "&amp;MID(C46,6,4)-1)</f>
        <v>T4 - 2025</v>
      </c>
    </row>
    <row r="46" spans="1:14" ht="15" customHeight="1" x14ac:dyDescent="0.25">
      <c r="A46" s="165" t="s">
        <v>761</v>
      </c>
      <c r="B46" s="2" t="str">
        <f>"Q"&amp;B38&amp;" - "&amp;B8</f>
        <v>Q1 - 2026</v>
      </c>
      <c r="C46" s="2" t="str">
        <f>"T"&amp;C38&amp;" - "&amp;C8</f>
        <v>T1 - 2026</v>
      </c>
    </row>
    <row r="47" spans="1:14" ht="15" customHeight="1" x14ac:dyDescent="0.25">
      <c r="B47" s="2"/>
      <c r="C47" s="2"/>
    </row>
    <row r="48" spans="1:14" ht="15" customHeight="1" x14ac:dyDescent="0.25">
      <c r="A48" s="165" t="s">
        <v>763</v>
      </c>
      <c r="B48" s="2" t="str">
        <f>IF(B38=1,"Q1 "&amp;B8&amp;" &lt;= Jan-Mar "&amp;B8,IF(B38=2,"Q1-Q2 "&amp;B8&amp;" &lt;= Jan-Jun "&amp;B8,IF(B38=3,"Q1-Q3 "&amp;B8&amp;" &lt;= Jan-Sept "&amp;B8,"Q1-Q3 "&amp;B8&amp;" &lt;= "&amp;B8)))</f>
        <v>Q1 2026 &lt;= Jan-Mar 2026</v>
      </c>
      <c r="C48" s="2" t="str">
        <f>IF(C38=1,"T1 "&amp;B8&amp;" &lt;= jan-mars "&amp;C8,IF(C38=2,"T1-T2 "&amp;B8&amp;" &lt;= jan-juin "&amp;B8,IF(C38=3,"T1-T3 "&amp;B8&amp;" &lt;= jan-sep "&amp;B8,"Q1-Q3 "&amp;B8&amp;" &lt;= "&amp;B8)))</f>
        <v>T1 2026 &lt;= jan-mars 2026</v>
      </c>
    </row>
    <row r="49" spans="1:4" ht="15" customHeight="1" x14ac:dyDescent="0.25">
      <c r="A49" s="165" t="s">
        <v>764</v>
      </c>
      <c r="B49" s="2" t="str">
        <f>"Q1-Q4 "&amp;B8-1&amp;" &lt;= "&amp;B8-1</f>
        <v>Q1-Q4 2025 &lt;= 2025</v>
      </c>
      <c r="C49" s="2" t="str">
        <f>"T1-T4 "&amp;B8-1&amp;" &lt;= "&amp;B8-1</f>
        <v>T1-T4 2025 &lt;= 2025</v>
      </c>
    </row>
    <row r="50" spans="1:4" ht="15" customHeight="1" x14ac:dyDescent="0.25">
      <c r="A50" s="165" t="s">
        <v>765</v>
      </c>
      <c r="B50" s="2" t="str">
        <f>IF(B38=1,"Q2-Q4 "&amp;B8-2&amp;" &lt;= "&amp;B8-2,IF(B38=2,"Q3-Q4 "&amp;B8-2&amp;" &lt;= "&amp;B8-2,IF(B38=3,"Q4 "&amp;B8-2&amp;" &lt;= "&amp;B8-2,"N/A Remove column")))</f>
        <v>Q2-Q4 2024 &lt;= 2024</v>
      </c>
      <c r="C50" s="2" t="str">
        <f>IF(B38=1,"T2-T4 "&amp;B8-2&amp;" &lt;= "&amp;B8-2,IF(B38=2,"T3-T4 "&amp;B8-2&amp;" &lt;= "&amp;B8-2,IF(B38=3,"T4 "&amp;B8-2&amp;" &lt;= "&amp;B8-2,"N/A Remove column")))</f>
        <v>T2-T4 2024 &lt;= 2024</v>
      </c>
    </row>
    <row r="51" spans="1:4" ht="15" customHeight="1" x14ac:dyDescent="0.25"/>
    <row r="52" spans="1:4" ht="15" customHeight="1" x14ac:dyDescent="0.25">
      <c r="A52" s="668" t="s">
        <v>678</v>
      </c>
      <c r="B52" s="668"/>
      <c r="C52" s="668"/>
      <c r="D52" s="668"/>
    </row>
    <row r="53" spans="1:4" ht="15" customHeight="1" x14ac:dyDescent="0.25">
      <c r="A53" s="222"/>
      <c r="B53" s="223"/>
      <c r="C53" s="223"/>
      <c r="D53" s="223"/>
    </row>
    <row r="54" spans="1:4" x14ac:dyDescent="0.25">
      <c r="A54" s="165" t="s">
        <v>682</v>
      </c>
      <c r="B54" s="152" t="s">
        <v>674</v>
      </c>
      <c r="C54" s="152" t="s">
        <v>676</v>
      </c>
      <c r="D54" s="166" t="str">
        <f>IF(Intro!G21="english",B54,C54)</f>
        <v>Yes</v>
      </c>
    </row>
    <row r="55" spans="1:4" x14ac:dyDescent="0.25">
      <c r="B55" s="152" t="s">
        <v>675</v>
      </c>
      <c r="C55" s="152" t="s">
        <v>677</v>
      </c>
      <c r="D55" s="166" t="str">
        <f>IF(Intro!G21="english",B55,C55)</f>
        <v>No</v>
      </c>
    </row>
    <row r="57" spans="1:4" x14ac:dyDescent="0.25">
      <c r="A57" s="165" t="s">
        <v>713</v>
      </c>
      <c r="B57" s="2" t="s">
        <v>675</v>
      </c>
      <c r="C57" s="2" t="s">
        <v>677</v>
      </c>
      <c r="D57" s="166" t="str">
        <f>IF(Intro!G$21="english",B57,C57)</f>
        <v>No</v>
      </c>
    </row>
    <row r="58" spans="1:4" x14ac:dyDescent="0.25">
      <c r="B58" s="2" t="s">
        <v>714</v>
      </c>
      <c r="C58" s="2" t="s">
        <v>811</v>
      </c>
      <c r="D58" s="166" t="str">
        <f>IF(Intro!G$21="english",B58,C58)</f>
        <v>Yes, modify the amounts or explain below.</v>
      </c>
    </row>
    <row r="60" spans="1:4" ht="14.45" customHeight="1" x14ac:dyDescent="0.25">
      <c r="A60" s="669" t="s">
        <v>745</v>
      </c>
      <c r="B60" s="669"/>
      <c r="C60" s="669"/>
      <c r="D60" s="669"/>
    </row>
    <row r="61" spans="1:4" x14ac:dyDescent="0.25">
      <c r="A61" s="166" t="s">
        <v>744</v>
      </c>
      <c r="B61" s="2" t="s">
        <v>736</v>
      </c>
      <c r="C61" s="2" t="s">
        <v>737</v>
      </c>
      <c r="D61" s="166" t="str">
        <f>IF(Intro!$G$21="English",B61,C61)</f>
        <v>Verification - volume</v>
      </c>
    </row>
    <row r="62" spans="1:4" x14ac:dyDescent="0.25">
      <c r="A62" s="166"/>
      <c r="B62" s="2" t="s">
        <v>740</v>
      </c>
      <c r="C62" s="2" t="s">
        <v>741</v>
      </c>
      <c r="D62" s="166" t="str">
        <f>IF(Intro!$G$21="English",B62,C62)</f>
        <v>Error</v>
      </c>
    </row>
    <row r="63" spans="1:4" x14ac:dyDescent="0.25">
      <c r="B63" s="2" t="s">
        <v>742</v>
      </c>
      <c r="C63" s="2" t="s">
        <v>743</v>
      </c>
      <c r="D63" s="166" t="str">
        <f>IF(Intro!$G$21="English",B63,C63)</f>
        <v>Okay</v>
      </c>
    </row>
    <row r="64" spans="1:4" x14ac:dyDescent="0.25">
      <c r="B64" s="2"/>
      <c r="C64" s="2"/>
      <c r="D64" s="2"/>
    </row>
    <row r="65" spans="2:4" x14ac:dyDescent="0.25">
      <c r="B65" s="2" t="s">
        <v>738</v>
      </c>
      <c r="C65" s="2" t="s">
        <v>739</v>
      </c>
      <c r="D65" s="166" t="str">
        <f>IF(Intro!$G$21="English",B65,C65)</f>
        <v>Verification - value</v>
      </c>
    </row>
    <row r="66" spans="2:4" x14ac:dyDescent="0.25">
      <c r="B66" s="2" t="s">
        <v>740</v>
      </c>
      <c r="C66" s="2" t="s">
        <v>741</v>
      </c>
      <c r="D66" s="166" t="str">
        <f>IF(Intro!$G$21="English",B66,C66)</f>
        <v>Error</v>
      </c>
    </row>
    <row r="67" spans="2:4" x14ac:dyDescent="0.25">
      <c r="B67" s="2" t="s">
        <v>742</v>
      </c>
      <c r="C67" s="2" t="s">
        <v>743</v>
      </c>
      <c r="D67" s="166" t="str">
        <f>IF(Intro!$G$21="English",B67,C67)</f>
        <v>Okay</v>
      </c>
    </row>
  </sheetData>
  <sheetProtection algorithmName="SHA-512" hashValue="CpnfbdTDPTXII8lk0G2sIqme1hLIPRUZMcq+pFTywFaH3vhGzY3/TIfRDMbRu9LInlAszNqwQwmeX66vls5hiA==" saltValue="7tmTvW5TVs3c/3IIGXnA6Q==" spinCount="100000" sheet="1" objects="1" scenarios="1" selectLockedCells="1"/>
  <mergeCells count="2">
    <mergeCell ref="A52:D52"/>
    <mergeCell ref="A60:D60"/>
  </mergeCells>
  <phoneticPr fontId="18" type="noConversion"/>
  <dataValidations count="2">
    <dataValidation type="list" allowBlank="1" showInputMessage="1" showErrorMessage="1" sqref="C4" xr:uid="{8E6BCFD2-2FDF-44CD-ACB5-4640EC6E9660}">
      <formula1>"le dumping, le dumping et le subventionnement"</formula1>
    </dataValidation>
    <dataValidation type="list" allowBlank="1" showInputMessage="1" showErrorMessage="1" sqref="B4" xr:uid="{141C76BF-4BEF-4D20-8A36-217B586C5448}">
      <formula1>"dumping, dumping and the subsidizing"</formula1>
    </dataValidation>
  </dataValidation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96176-98CE-473F-9AF9-8B73927B665A}">
  <sheetPr>
    <tabColor rgb="FF92D050"/>
    <pageSetUpPr fitToPage="1"/>
  </sheetPr>
  <dimension ref="A1:S241"/>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7" width="9.140625" style="2" customWidth="1"/>
    <col min="18" max="16384" width="9.140625" style="2"/>
  </cols>
  <sheetData>
    <row r="1" spans="1:16" x14ac:dyDescent="0.25">
      <c r="O1" s="2" t="s">
        <v>720</v>
      </c>
      <c r="P1" s="2" t="s">
        <v>720</v>
      </c>
    </row>
    <row r="2" spans="1:16" x14ac:dyDescent="0.25">
      <c r="B2" s="20" t="str">
        <f>'Pro 1'!B2</f>
        <v>PROTECTED</v>
      </c>
      <c r="C2" s="20"/>
      <c r="O2" s="3" t="s">
        <v>166</v>
      </c>
      <c r="P2" s="3" t="s">
        <v>167</v>
      </c>
    </row>
    <row r="3" spans="1:16" x14ac:dyDescent="0.25">
      <c r="B3" s="21"/>
      <c r="C3" s="21"/>
      <c r="O3" s="8"/>
      <c r="P3" s="8"/>
    </row>
    <row r="4" spans="1:16" s="8" customFormat="1" x14ac:dyDescent="0.25">
      <c r="A4" s="13"/>
      <c r="B4" s="649" t="str">
        <f>Info!B4</f>
        <v>PRODUCERS' QUESTIONNAIRE</v>
      </c>
      <c r="C4" s="650"/>
      <c r="D4" s="650"/>
      <c r="E4" s="650"/>
      <c r="F4" s="650"/>
      <c r="G4" s="650"/>
      <c r="H4" s="650"/>
      <c r="I4" s="650"/>
      <c r="J4" s="650"/>
      <c r="K4" s="650"/>
      <c r="L4" s="651"/>
      <c r="M4" s="15"/>
      <c r="N4" s="15"/>
      <c r="O4" s="14"/>
      <c r="P4" s="14"/>
    </row>
    <row r="5" spans="1:16" s="8" customFormat="1" x14ac:dyDescent="0.25">
      <c r="A5" s="13"/>
      <c r="B5" s="652" t="str">
        <f>Info!B5</f>
        <v>NQ-2026-004</v>
      </c>
      <c r="C5" s="653"/>
      <c r="D5" s="653"/>
      <c r="E5" s="653"/>
      <c r="F5" s="653"/>
      <c r="G5" s="653"/>
      <c r="H5" s="653"/>
      <c r="I5" s="653"/>
      <c r="J5" s="653"/>
      <c r="K5" s="653"/>
      <c r="L5" s="654"/>
      <c r="M5" s="15"/>
      <c r="N5" s="15"/>
      <c r="O5" s="14"/>
      <c r="P5" s="14"/>
    </row>
    <row r="6" spans="1:16" s="9" customFormat="1" x14ac:dyDescent="0.25">
      <c r="A6" s="13"/>
      <c r="B6" s="652" t="str">
        <f>Info!B6</f>
        <v>DECORATIVE AND OTHER NON-STRUCTURAL PLYWOOD</v>
      </c>
      <c r="C6" s="653"/>
      <c r="D6" s="653"/>
      <c r="E6" s="653"/>
      <c r="F6" s="653"/>
      <c r="G6" s="653"/>
      <c r="H6" s="653"/>
      <c r="I6" s="653"/>
      <c r="J6" s="653"/>
      <c r="K6" s="653"/>
      <c r="L6" s="654"/>
      <c r="M6" s="14"/>
      <c r="N6" s="14"/>
      <c r="O6" s="10"/>
      <c r="P6" s="10"/>
    </row>
    <row r="7" spans="1:16" s="9" customFormat="1" x14ac:dyDescent="0.25">
      <c r="A7" s="13"/>
      <c r="B7" s="242"/>
      <c r="C7" s="28"/>
      <c r="D7" s="28"/>
      <c r="E7" s="28"/>
      <c r="F7" s="28"/>
      <c r="G7" s="28"/>
      <c r="H7" s="28"/>
      <c r="I7" s="28"/>
      <c r="J7" s="28"/>
      <c r="K7" s="28"/>
      <c r="L7" s="243"/>
      <c r="M7" s="14"/>
      <c r="N7" s="14"/>
      <c r="O7" s="5"/>
    </row>
    <row r="8" spans="1:16" s="9" customFormat="1" x14ac:dyDescent="0.25">
      <c r="A8" s="13"/>
      <c r="B8" s="733" t="str">
        <f>Public!B8</f>
        <v>The following questions refer to the goods as defined in the product description on the Intro tab.</v>
      </c>
      <c r="C8" s="734"/>
      <c r="D8" s="734"/>
      <c r="E8" s="734"/>
      <c r="F8" s="734"/>
      <c r="G8" s="734"/>
      <c r="H8" s="734"/>
      <c r="I8" s="734"/>
      <c r="J8" s="734"/>
      <c r="K8" s="734"/>
      <c r="L8" s="735"/>
      <c r="M8" s="14"/>
      <c r="N8" s="14"/>
      <c r="O8" s="10"/>
      <c r="P8" s="10"/>
    </row>
    <row r="9" spans="1:16" s="9" customFormat="1" x14ac:dyDescent="0.25">
      <c r="A9" s="13"/>
      <c r="B9" s="733" t="str">
        <f>Public!B9</f>
        <v xml:space="preserve">Product information and a glossary of terms can be found in the Info tab.
</v>
      </c>
      <c r="C9" s="734"/>
      <c r="D9" s="734"/>
      <c r="E9" s="734"/>
      <c r="F9" s="734"/>
      <c r="G9" s="734"/>
      <c r="H9" s="734"/>
      <c r="I9" s="734"/>
      <c r="J9" s="734"/>
      <c r="K9" s="734"/>
      <c r="L9" s="735"/>
      <c r="M9" s="14"/>
      <c r="N9" s="14"/>
      <c r="O9" s="10"/>
    </row>
    <row r="10" spans="1:16" s="9" customFormat="1" x14ac:dyDescent="0.25">
      <c r="A10" s="13"/>
      <c r="B10" s="736" t="str">
        <f>'Pro 1'!B10</f>
        <v xml:space="preserve">Use the AddPro tab if more space is needed.
</v>
      </c>
      <c r="C10" s="737"/>
      <c r="D10" s="737"/>
      <c r="E10" s="737"/>
      <c r="F10" s="737"/>
      <c r="G10" s="737"/>
      <c r="H10" s="737"/>
      <c r="I10" s="737"/>
      <c r="J10" s="737"/>
      <c r="K10" s="737"/>
      <c r="L10" s="738"/>
      <c r="M10" s="14"/>
      <c r="N10" s="14"/>
      <c r="O10" s="10"/>
      <c r="P10" s="10"/>
    </row>
    <row r="11" spans="1:16" s="9" customFormat="1" x14ac:dyDescent="0.25">
      <c r="A11" s="13"/>
      <c r="B11" s="22"/>
      <c r="C11" s="22"/>
      <c r="D11" s="23"/>
      <c r="E11" s="23"/>
      <c r="F11" s="23"/>
      <c r="G11" s="23"/>
      <c r="H11" s="23"/>
      <c r="I11" s="23"/>
      <c r="J11" s="23"/>
      <c r="K11" s="23"/>
      <c r="L11" s="23"/>
      <c r="O11" s="10"/>
      <c r="P11" s="10"/>
    </row>
    <row r="12" spans="1:16" x14ac:dyDescent="0.25">
      <c r="B12" s="618" t="str">
        <f>IF(Intro!$G$21="English",O12,P12)</f>
        <v>NEGATIVE EFFECTS OF IMPORTS</v>
      </c>
      <c r="C12" s="619"/>
      <c r="D12" s="619"/>
      <c r="E12" s="619"/>
      <c r="F12" s="619"/>
      <c r="G12" s="619"/>
      <c r="H12" s="619"/>
      <c r="I12" s="619"/>
      <c r="J12" s="619"/>
      <c r="K12" s="619"/>
      <c r="L12" s="620"/>
      <c r="M12" s="2"/>
      <c r="O12" s="2" t="s">
        <v>672</v>
      </c>
      <c r="P12" s="2" t="s">
        <v>673</v>
      </c>
    </row>
    <row r="13" spans="1:16" x14ac:dyDescent="0.25">
      <c r="B13" s="714" t="s">
        <v>20</v>
      </c>
      <c r="C13" s="715"/>
      <c r="D13" s="715"/>
      <c r="E13" s="715"/>
      <c r="F13" s="715"/>
      <c r="G13" s="715"/>
      <c r="H13" s="715"/>
      <c r="I13" s="715"/>
      <c r="J13" s="715"/>
      <c r="K13" s="715"/>
      <c r="L13" s="716"/>
      <c r="M13" s="2"/>
    </row>
    <row r="14" spans="1:16" x14ac:dyDescent="0.25">
      <c r="B14" s="170"/>
      <c r="C14" s="171"/>
      <c r="D14" s="171"/>
      <c r="E14" s="171"/>
      <c r="F14" s="171"/>
      <c r="G14" s="171"/>
      <c r="H14" s="171"/>
      <c r="I14" s="171"/>
      <c r="J14" s="171"/>
      <c r="K14" s="171"/>
      <c r="L14" s="172"/>
      <c r="M14" s="2"/>
    </row>
    <row r="15" spans="1:16" x14ac:dyDescent="0.25">
      <c r="B15" s="612" t="str">
        <f>IF(Intro!$G$21="English",O15,P15)</f>
        <v>Identify and explain any negative effects on any of the following factors due to the imports of the subject goods since January 1, 2023. Provide supporting documents to the extent available.</v>
      </c>
      <c r="C15" s="613"/>
      <c r="D15" s="613"/>
      <c r="E15" s="613"/>
      <c r="F15" s="613"/>
      <c r="G15" s="613"/>
      <c r="H15" s="613"/>
      <c r="I15" s="613"/>
      <c r="J15" s="613"/>
      <c r="K15" s="613"/>
      <c r="L15" s="614"/>
      <c r="M15" s="2"/>
      <c r="O15" s="2" t="str">
        <f>"Identify and explain any negative effects on any of the following factors due to the imports of the subject goods since January 1, "&amp;Variables!B6&amp;". Provide supporting documents to the extent available."</f>
        <v>Identify and explain any negative effects on any of the following factors due to the imports of the subject goods since January 1, 2023. Provide supporting documents to the extent available.</v>
      </c>
      <c r="P15" s="2" t="str">
        <f>"Identifiez et expliquez tout effet négatif à l'égard des facteurs suivants en raison de l'importation des marchandises en cause depuis le 1er janvier "&amp;Variables!B6&amp;". Fournissez des pièces justificatives dans la mesure du possible."</f>
        <v>Identifiez et expliquez tout effet négatif à l'égard des facteurs suivants en raison de l'importation des marchandises en cause depuis le 1er janvier 2023. Fournissez des pièces justificatives dans la mesure du possible.</v>
      </c>
    </row>
    <row r="16" spans="1:16" x14ac:dyDescent="0.25">
      <c r="B16" s="612"/>
      <c r="C16" s="613"/>
      <c r="D16" s="613"/>
      <c r="E16" s="613"/>
      <c r="F16" s="613"/>
      <c r="G16" s="613"/>
      <c r="H16" s="613"/>
      <c r="I16" s="613"/>
      <c r="J16" s="613"/>
      <c r="K16" s="613"/>
      <c r="L16" s="614"/>
      <c r="M16" s="2"/>
      <c r="O16" s="2" t="s">
        <v>362</v>
      </c>
      <c r="P16" s="2" t="s">
        <v>671</v>
      </c>
    </row>
    <row r="17" spans="2:16" x14ac:dyDescent="0.25">
      <c r="B17" s="170"/>
      <c r="C17" s="171"/>
      <c r="D17" s="171"/>
      <c r="E17" s="171"/>
      <c r="F17" s="171"/>
      <c r="G17" s="171"/>
      <c r="H17" s="171"/>
      <c r="I17" s="171"/>
      <c r="J17" s="171"/>
      <c r="K17" s="171"/>
      <c r="L17" s="172"/>
      <c r="M17" s="2"/>
    </row>
    <row r="18" spans="2:16" x14ac:dyDescent="0.25">
      <c r="B18" s="977" t="str">
        <f>IF(Intro!$G$21="English",O18,P18)</f>
        <v>Return on investment</v>
      </c>
      <c r="C18" s="978"/>
      <c r="D18" s="592"/>
      <c r="E18" s="592"/>
      <c r="F18" s="592"/>
      <c r="G18" s="592"/>
      <c r="H18" s="592"/>
      <c r="I18" s="592"/>
      <c r="J18" s="592"/>
      <c r="K18" s="592"/>
      <c r="L18" s="593"/>
      <c r="M18" s="2"/>
      <c r="O18" s="11" t="s">
        <v>86</v>
      </c>
      <c r="P18" s="2" t="s">
        <v>87</v>
      </c>
    </row>
    <row r="19" spans="2:16" x14ac:dyDescent="0.25">
      <c r="B19" s="979"/>
      <c r="C19" s="980"/>
      <c r="D19" s="592"/>
      <c r="E19" s="592"/>
      <c r="F19" s="592"/>
      <c r="G19" s="592"/>
      <c r="H19" s="592"/>
      <c r="I19" s="592"/>
      <c r="J19" s="592"/>
      <c r="K19" s="592"/>
      <c r="L19" s="593"/>
      <c r="M19" s="2"/>
      <c r="O19" s="11"/>
    </row>
    <row r="20" spans="2:16" x14ac:dyDescent="0.25">
      <c r="B20" s="979"/>
      <c r="C20" s="980"/>
      <c r="D20" s="592"/>
      <c r="E20" s="592"/>
      <c r="F20" s="592"/>
      <c r="G20" s="592"/>
      <c r="H20" s="592"/>
      <c r="I20" s="592"/>
      <c r="J20" s="592"/>
      <c r="K20" s="592"/>
      <c r="L20" s="593"/>
      <c r="M20" s="2"/>
      <c r="O20" s="11"/>
    </row>
    <row r="21" spans="2:16" x14ac:dyDescent="0.25">
      <c r="B21" s="975" t="str">
        <f>IF(Intro!$G$21="English",$O$16,$P$16)</f>
        <v>Select Yes or No</v>
      </c>
      <c r="C21" s="976"/>
      <c r="D21" s="592"/>
      <c r="E21" s="592"/>
      <c r="F21" s="592"/>
      <c r="G21" s="592"/>
      <c r="H21" s="592"/>
      <c r="I21" s="592"/>
      <c r="J21" s="592"/>
      <c r="K21" s="592"/>
      <c r="L21" s="593"/>
      <c r="M21" s="2"/>
      <c r="O21" s="11"/>
    </row>
    <row r="22" spans="2:16" x14ac:dyDescent="0.25">
      <c r="B22" s="981"/>
      <c r="C22" s="982"/>
      <c r="D22" s="592"/>
      <c r="E22" s="592"/>
      <c r="F22" s="592"/>
      <c r="G22" s="592"/>
      <c r="H22" s="592"/>
      <c r="I22" s="592"/>
      <c r="J22" s="592"/>
      <c r="K22" s="592"/>
      <c r="L22" s="593"/>
      <c r="M22" s="2"/>
      <c r="O22" s="11"/>
    </row>
    <row r="23" spans="2:16" x14ac:dyDescent="0.25">
      <c r="B23" s="973"/>
      <c r="C23" s="974"/>
      <c r="D23" s="592"/>
      <c r="E23" s="592"/>
      <c r="F23" s="592"/>
      <c r="G23" s="592"/>
      <c r="H23" s="592"/>
      <c r="I23" s="592"/>
      <c r="J23" s="592"/>
      <c r="K23" s="592"/>
      <c r="L23" s="593"/>
      <c r="M23" s="2"/>
      <c r="O23" s="11"/>
    </row>
    <row r="24" spans="2:16" x14ac:dyDescent="0.25">
      <c r="B24" s="983"/>
      <c r="C24" s="984"/>
      <c r="D24" s="592"/>
      <c r="E24" s="592"/>
      <c r="F24" s="592"/>
      <c r="G24" s="592"/>
      <c r="H24" s="592"/>
      <c r="I24" s="592"/>
      <c r="J24" s="592"/>
      <c r="K24" s="592"/>
      <c r="L24" s="593"/>
      <c r="M24" s="2"/>
      <c r="O24" s="11"/>
    </row>
    <row r="25" spans="2:16" x14ac:dyDescent="0.25">
      <c r="B25" s="983"/>
      <c r="C25" s="984"/>
      <c r="D25" s="592"/>
      <c r="E25" s="592"/>
      <c r="F25" s="592"/>
      <c r="G25" s="592"/>
      <c r="H25" s="592"/>
      <c r="I25" s="592"/>
      <c r="J25" s="592"/>
      <c r="K25" s="592"/>
      <c r="L25" s="593"/>
      <c r="M25" s="2"/>
      <c r="O25" s="11"/>
    </row>
    <row r="26" spans="2:16" x14ac:dyDescent="0.25">
      <c r="B26" s="983"/>
      <c r="C26" s="984"/>
      <c r="D26" s="592"/>
      <c r="E26" s="592"/>
      <c r="F26" s="592"/>
      <c r="G26" s="592"/>
      <c r="H26" s="592"/>
      <c r="I26" s="592"/>
      <c r="J26" s="592"/>
      <c r="K26" s="592"/>
      <c r="L26" s="593"/>
      <c r="M26" s="2"/>
      <c r="O26" s="11"/>
    </row>
    <row r="27" spans="2:16" x14ac:dyDescent="0.25">
      <c r="B27" s="975"/>
      <c r="C27" s="976"/>
      <c r="D27" s="592"/>
      <c r="E27" s="592"/>
      <c r="F27" s="592"/>
      <c r="G27" s="592"/>
      <c r="H27" s="592"/>
      <c r="I27" s="592"/>
      <c r="J27" s="592"/>
      <c r="K27" s="592"/>
      <c r="L27" s="593"/>
      <c r="M27" s="2"/>
      <c r="O27" s="11"/>
    </row>
    <row r="28" spans="2:16" x14ac:dyDescent="0.25">
      <c r="B28" s="977" t="str">
        <f>IF(Intro!$G$21="English",O28,P28)</f>
        <v>Growth</v>
      </c>
      <c r="C28" s="978"/>
      <c r="D28" s="592"/>
      <c r="E28" s="592"/>
      <c r="F28" s="592"/>
      <c r="G28" s="592"/>
      <c r="H28" s="592"/>
      <c r="I28" s="592"/>
      <c r="J28" s="592"/>
      <c r="K28" s="592"/>
      <c r="L28" s="593"/>
      <c r="M28" s="2"/>
      <c r="O28" s="11" t="s">
        <v>88</v>
      </c>
      <c r="P28" s="11" t="s">
        <v>89</v>
      </c>
    </row>
    <row r="29" spans="2:16" x14ac:dyDescent="0.25">
      <c r="B29" s="979"/>
      <c r="C29" s="980"/>
      <c r="D29" s="592"/>
      <c r="E29" s="592"/>
      <c r="F29" s="592"/>
      <c r="G29" s="592"/>
      <c r="H29" s="592"/>
      <c r="I29" s="592"/>
      <c r="J29" s="592"/>
      <c r="K29" s="592"/>
      <c r="L29" s="593"/>
      <c r="M29" s="2"/>
    </row>
    <row r="30" spans="2:16" x14ac:dyDescent="0.25">
      <c r="B30" s="979"/>
      <c r="C30" s="980"/>
      <c r="D30" s="592"/>
      <c r="E30" s="592"/>
      <c r="F30" s="592"/>
      <c r="G30" s="592"/>
      <c r="H30" s="592"/>
      <c r="I30" s="592"/>
      <c r="J30" s="592"/>
      <c r="K30" s="592"/>
      <c r="L30" s="593"/>
      <c r="M30" s="2"/>
    </row>
    <row r="31" spans="2:16" x14ac:dyDescent="0.25">
      <c r="B31" s="975" t="str">
        <f>IF(Intro!$G$21="English",$O$16,$P$16)</f>
        <v>Select Yes or No</v>
      </c>
      <c r="C31" s="976"/>
      <c r="D31" s="592"/>
      <c r="E31" s="592"/>
      <c r="F31" s="592"/>
      <c r="G31" s="592"/>
      <c r="H31" s="592"/>
      <c r="I31" s="592"/>
      <c r="J31" s="592"/>
      <c r="K31" s="592"/>
      <c r="L31" s="593"/>
      <c r="M31" s="2"/>
    </row>
    <row r="32" spans="2:16" x14ac:dyDescent="0.25">
      <c r="B32" s="981"/>
      <c r="C32" s="982"/>
      <c r="D32" s="592"/>
      <c r="E32" s="592"/>
      <c r="F32" s="592"/>
      <c r="G32" s="592"/>
      <c r="H32" s="592"/>
      <c r="I32" s="592"/>
      <c r="J32" s="592"/>
      <c r="K32" s="592"/>
      <c r="L32" s="593"/>
      <c r="M32" s="2"/>
    </row>
    <row r="33" spans="2:16" x14ac:dyDescent="0.25">
      <c r="B33" s="973"/>
      <c r="C33" s="974"/>
      <c r="D33" s="592"/>
      <c r="E33" s="592"/>
      <c r="F33" s="592"/>
      <c r="G33" s="592"/>
      <c r="H33" s="592"/>
      <c r="I33" s="592"/>
      <c r="J33" s="592"/>
      <c r="K33" s="592"/>
      <c r="L33" s="593"/>
      <c r="M33" s="2"/>
      <c r="O33" s="11"/>
    </row>
    <row r="34" spans="2:16" x14ac:dyDescent="0.25">
      <c r="B34" s="983"/>
      <c r="C34" s="984"/>
      <c r="D34" s="592"/>
      <c r="E34" s="592"/>
      <c r="F34" s="592"/>
      <c r="G34" s="592"/>
      <c r="H34" s="592"/>
      <c r="I34" s="592"/>
      <c r="J34" s="592"/>
      <c r="K34" s="592"/>
      <c r="L34" s="593"/>
      <c r="M34" s="2"/>
      <c r="O34" s="11"/>
    </row>
    <row r="35" spans="2:16" x14ac:dyDescent="0.25">
      <c r="B35" s="983"/>
      <c r="C35" s="984"/>
      <c r="D35" s="592"/>
      <c r="E35" s="592"/>
      <c r="F35" s="592"/>
      <c r="G35" s="592"/>
      <c r="H35" s="592"/>
      <c r="I35" s="592"/>
      <c r="J35" s="592"/>
      <c r="K35" s="592"/>
      <c r="L35" s="593"/>
      <c r="M35" s="2"/>
      <c r="O35" s="11"/>
    </row>
    <row r="36" spans="2:16" x14ac:dyDescent="0.25">
      <c r="B36" s="983"/>
      <c r="C36" s="984"/>
      <c r="D36" s="592"/>
      <c r="E36" s="592"/>
      <c r="F36" s="592"/>
      <c r="G36" s="592"/>
      <c r="H36" s="592"/>
      <c r="I36" s="592"/>
      <c r="J36" s="592"/>
      <c r="K36" s="592"/>
      <c r="L36" s="593"/>
      <c r="M36" s="2"/>
      <c r="O36" s="11"/>
    </row>
    <row r="37" spans="2:16" x14ac:dyDescent="0.25">
      <c r="B37" s="975"/>
      <c r="C37" s="976"/>
      <c r="D37" s="592"/>
      <c r="E37" s="592"/>
      <c r="F37" s="592"/>
      <c r="G37" s="592"/>
      <c r="H37" s="592"/>
      <c r="I37" s="592"/>
      <c r="J37" s="592"/>
      <c r="K37" s="592"/>
      <c r="L37" s="593"/>
      <c r="M37" s="2"/>
    </row>
    <row r="38" spans="2:16" x14ac:dyDescent="0.25">
      <c r="B38" s="977" t="str">
        <f>IF(Intro!$G$21="English",O38,P38)</f>
        <v xml:space="preserve">Ability to raise capital </v>
      </c>
      <c r="C38" s="978"/>
      <c r="D38" s="592"/>
      <c r="E38" s="592"/>
      <c r="F38" s="592"/>
      <c r="G38" s="592"/>
      <c r="H38" s="592"/>
      <c r="I38" s="592"/>
      <c r="J38" s="592"/>
      <c r="K38" s="592"/>
      <c r="L38" s="593"/>
      <c r="M38" s="2"/>
      <c r="O38" s="11" t="s">
        <v>90</v>
      </c>
      <c r="P38" s="11" t="s">
        <v>91</v>
      </c>
    </row>
    <row r="39" spans="2:16" x14ac:dyDescent="0.25">
      <c r="B39" s="979"/>
      <c r="C39" s="980"/>
      <c r="D39" s="592"/>
      <c r="E39" s="592"/>
      <c r="F39" s="592"/>
      <c r="G39" s="592"/>
      <c r="H39" s="592"/>
      <c r="I39" s="592"/>
      <c r="J39" s="592"/>
      <c r="K39" s="592"/>
      <c r="L39" s="593"/>
      <c r="M39" s="2"/>
    </row>
    <row r="40" spans="2:16" x14ac:dyDescent="0.25">
      <c r="B40" s="979"/>
      <c r="C40" s="980"/>
      <c r="D40" s="592"/>
      <c r="E40" s="592"/>
      <c r="F40" s="592"/>
      <c r="G40" s="592"/>
      <c r="H40" s="592"/>
      <c r="I40" s="592"/>
      <c r="J40" s="592"/>
      <c r="K40" s="592"/>
      <c r="L40" s="593"/>
      <c r="M40" s="2"/>
    </row>
    <row r="41" spans="2:16" x14ac:dyDescent="0.25">
      <c r="B41" s="975" t="str">
        <f>IF(Intro!$G$21="English",$O$16,$P$16)</f>
        <v>Select Yes or No</v>
      </c>
      <c r="C41" s="976"/>
      <c r="D41" s="592"/>
      <c r="E41" s="592"/>
      <c r="F41" s="592"/>
      <c r="G41" s="592"/>
      <c r="H41" s="592"/>
      <c r="I41" s="592"/>
      <c r="J41" s="592"/>
      <c r="K41" s="592"/>
      <c r="L41" s="593"/>
      <c r="M41" s="2"/>
    </row>
    <row r="42" spans="2:16" x14ac:dyDescent="0.25">
      <c r="B42" s="981"/>
      <c r="C42" s="982"/>
      <c r="D42" s="592"/>
      <c r="E42" s="592"/>
      <c r="F42" s="592"/>
      <c r="G42" s="592"/>
      <c r="H42" s="592"/>
      <c r="I42" s="592"/>
      <c r="J42" s="592"/>
      <c r="K42" s="592"/>
      <c r="L42" s="593"/>
      <c r="M42" s="2"/>
      <c r="O42" s="11"/>
    </row>
    <row r="43" spans="2:16" x14ac:dyDescent="0.25">
      <c r="B43" s="973"/>
      <c r="C43" s="974"/>
      <c r="D43" s="592"/>
      <c r="E43" s="592"/>
      <c r="F43" s="592"/>
      <c r="G43" s="592"/>
      <c r="H43" s="592"/>
      <c r="I43" s="592"/>
      <c r="J43" s="592"/>
      <c r="K43" s="592"/>
      <c r="L43" s="593"/>
      <c r="M43" s="2"/>
      <c r="O43" s="11"/>
    </row>
    <row r="44" spans="2:16" x14ac:dyDescent="0.25">
      <c r="B44" s="983"/>
      <c r="C44" s="984"/>
      <c r="D44" s="592"/>
      <c r="E44" s="592"/>
      <c r="F44" s="592"/>
      <c r="G44" s="592"/>
      <c r="H44" s="592"/>
      <c r="I44" s="592"/>
      <c r="J44" s="592"/>
      <c r="K44" s="592"/>
      <c r="L44" s="593"/>
      <c r="M44" s="2"/>
      <c r="O44" s="11"/>
    </row>
    <row r="45" spans="2:16" x14ac:dyDescent="0.25">
      <c r="B45" s="983"/>
      <c r="C45" s="984"/>
      <c r="D45" s="592"/>
      <c r="E45" s="592"/>
      <c r="F45" s="592"/>
      <c r="G45" s="592"/>
      <c r="H45" s="592"/>
      <c r="I45" s="592"/>
      <c r="J45" s="592"/>
      <c r="K45" s="592"/>
      <c r="L45" s="593"/>
      <c r="M45" s="2"/>
      <c r="O45" s="11"/>
    </row>
    <row r="46" spans="2:16" x14ac:dyDescent="0.25">
      <c r="B46" s="983"/>
      <c r="C46" s="984"/>
      <c r="D46" s="592"/>
      <c r="E46" s="592"/>
      <c r="F46" s="592"/>
      <c r="G46" s="592"/>
      <c r="H46" s="592"/>
      <c r="I46" s="592"/>
      <c r="J46" s="592"/>
      <c r="K46" s="592"/>
      <c r="L46" s="593"/>
      <c r="M46" s="2"/>
      <c r="O46" s="11"/>
    </row>
    <row r="47" spans="2:16" x14ac:dyDescent="0.25">
      <c r="B47" s="975"/>
      <c r="C47" s="976"/>
      <c r="D47" s="592"/>
      <c r="E47" s="592"/>
      <c r="F47" s="592"/>
      <c r="G47" s="592"/>
      <c r="H47" s="592"/>
      <c r="I47" s="592"/>
      <c r="J47" s="592"/>
      <c r="K47" s="592"/>
      <c r="L47" s="593"/>
      <c r="M47" s="2"/>
      <c r="O47" s="11"/>
    </row>
    <row r="48" spans="2:16" x14ac:dyDescent="0.25">
      <c r="B48" s="977" t="str">
        <f>IF(Intro!$G$21="English",O48,P48)</f>
        <v>Production Development Efforts</v>
      </c>
      <c r="C48" s="978"/>
      <c r="D48" s="592"/>
      <c r="E48" s="592"/>
      <c r="F48" s="592"/>
      <c r="G48" s="592"/>
      <c r="H48" s="592"/>
      <c r="I48" s="592"/>
      <c r="J48" s="592"/>
      <c r="K48" s="592"/>
      <c r="L48" s="593"/>
      <c r="M48" s="2"/>
      <c r="O48" s="11" t="s">
        <v>92</v>
      </c>
      <c r="P48" s="11" t="s">
        <v>93</v>
      </c>
    </row>
    <row r="49" spans="2:16" x14ac:dyDescent="0.25">
      <c r="B49" s="979"/>
      <c r="C49" s="980"/>
      <c r="D49" s="592"/>
      <c r="E49" s="592"/>
      <c r="F49" s="592"/>
      <c r="G49" s="592"/>
      <c r="H49" s="592"/>
      <c r="I49" s="592"/>
      <c r="J49" s="592"/>
      <c r="K49" s="592"/>
      <c r="L49" s="593"/>
      <c r="M49" s="2"/>
      <c r="O49" s="11"/>
    </row>
    <row r="50" spans="2:16" x14ac:dyDescent="0.25">
      <c r="B50" s="979"/>
      <c r="C50" s="980"/>
      <c r="D50" s="592"/>
      <c r="E50" s="592"/>
      <c r="F50" s="592"/>
      <c r="G50" s="592"/>
      <c r="H50" s="592"/>
      <c r="I50" s="592"/>
      <c r="J50" s="592"/>
      <c r="K50" s="592"/>
      <c r="L50" s="593"/>
      <c r="M50" s="2"/>
      <c r="O50" s="11"/>
    </row>
    <row r="51" spans="2:16" x14ac:dyDescent="0.25">
      <c r="B51" s="975" t="str">
        <f>IF(Intro!$G$21="English",$O$16,$P$16)</f>
        <v>Select Yes or No</v>
      </c>
      <c r="C51" s="976"/>
      <c r="D51" s="592"/>
      <c r="E51" s="592"/>
      <c r="F51" s="592"/>
      <c r="G51" s="592"/>
      <c r="H51" s="592"/>
      <c r="I51" s="592"/>
      <c r="J51" s="592"/>
      <c r="K51" s="592"/>
      <c r="L51" s="593"/>
      <c r="M51" s="2"/>
      <c r="O51" s="11"/>
    </row>
    <row r="52" spans="2:16" x14ac:dyDescent="0.25">
      <c r="B52" s="981"/>
      <c r="C52" s="982"/>
      <c r="D52" s="592"/>
      <c r="E52" s="592"/>
      <c r="F52" s="592"/>
      <c r="G52" s="592"/>
      <c r="H52" s="592"/>
      <c r="I52" s="592"/>
      <c r="J52" s="592"/>
      <c r="K52" s="592"/>
      <c r="L52" s="593"/>
      <c r="M52" s="2"/>
      <c r="O52" s="11"/>
    </row>
    <row r="53" spans="2:16" x14ac:dyDescent="0.25">
      <c r="B53" s="973"/>
      <c r="C53" s="974"/>
      <c r="D53" s="592"/>
      <c r="E53" s="592"/>
      <c r="F53" s="592"/>
      <c r="G53" s="592"/>
      <c r="H53" s="592"/>
      <c r="I53" s="592"/>
      <c r="J53" s="592"/>
      <c r="K53" s="592"/>
      <c r="L53" s="593"/>
      <c r="M53" s="2"/>
      <c r="O53" s="11"/>
    </row>
    <row r="54" spans="2:16" x14ac:dyDescent="0.25">
      <c r="B54" s="983"/>
      <c r="C54" s="984"/>
      <c r="D54" s="592"/>
      <c r="E54" s="592"/>
      <c r="F54" s="592"/>
      <c r="G54" s="592"/>
      <c r="H54" s="592"/>
      <c r="I54" s="592"/>
      <c r="J54" s="592"/>
      <c r="K54" s="592"/>
      <c r="L54" s="593"/>
      <c r="M54" s="2"/>
      <c r="O54" s="11"/>
    </row>
    <row r="55" spans="2:16" x14ac:dyDescent="0.25">
      <c r="B55" s="983"/>
      <c r="C55" s="984"/>
      <c r="D55" s="592"/>
      <c r="E55" s="592"/>
      <c r="F55" s="592"/>
      <c r="G55" s="592"/>
      <c r="H55" s="592"/>
      <c r="I55" s="592"/>
      <c r="J55" s="592"/>
      <c r="K55" s="592"/>
      <c r="L55" s="593"/>
      <c r="M55" s="2"/>
      <c r="O55" s="11"/>
    </row>
    <row r="56" spans="2:16" x14ac:dyDescent="0.25">
      <c r="B56" s="983"/>
      <c r="C56" s="984"/>
      <c r="D56" s="592"/>
      <c r="E56" s="592"/>
      <c r="F56" s="592"/>
      <c r="G56" s="592"/>
      <c r="H56" s="592"/>
      <c r="I56" s="592"/>
      <c r="J56" s="592"/>
      <c r="K56" s="592"/>
      <c r="L56" s="593"/>
      <c r="M56" s="2"/>
      <c r="O56" s="11"/>
    </row>
    <row r="57" spans="2:16" x14ac:dyDescent="0.25">
      <c r="B57" s="975"/>
      <c r="C57" s="976"/>
      <c r="D57" s="592"/>
      <c r="E57" s="592"/>
      <c r="F57" s="592"/>
      <c r="G57" s="592"/>
      <c r="H57" s="592"/>
      <c r="I57" s="592"/>
      <c r="J57" s="592"/>
      <c r="K57" s="592"/>
      <c r="L57" s="593"/>
      <c r="M57" s="2"/>
      <c r="O57" s="11"/>
    </row>
    <row r="58" spans="2:16" x14ac:dyDescent="0.25">
      <c r="B58" s="977" t="str">
        <f>IF(Intro!$G$21="English",O58,P58)</f>
        <v>Employment levels</v>
      </c>
      <c r="C58" s="978"/>
      <c r="D58" s="592"/>
      <c r="E58" s="592"/>
      <c r="F58" s="592"/>
      <c r="G58" s="592"/>
      <c r="H58" s="592"/>
      <c r="I58" s="592"/>
      <c r="J58" s="592"/>
      <c r="K58" s="592"/>
      <c r="L58" s="593"/>
      <c r="M58" s="2"/>
      <c r="O58" s="11" t="s">
        <v>298</v>
      </c>
      <c r="P58" s="11" t="s">
        <v>299</v>
      </c>
    </row>
    <row r="59" spans="2:16" x14ac:dyDescent="0.25">
      <c r="B59" s="979"/>
      <c r="C59" s="980"/>
      <c r="D59" s="592"/>
      <c r="E59" s="592"/>
      <c r="F59" s="592"/>
      <c r="G59" s="592"/>
      <c r="H59" s="592"/>
      <c r="I59" s="592"/>
      <c r="J59" s="592"/>
      <c r="K59" s="592"/>
      <c r="L59" s="593"/>
      <c r="M59" s="2"/>
      <c r="O59" s="11"/>
    </row>
    <row r="60" spans="2:16" x14ac:dyDescent="0.25">
      <c r="B60" s="979"/>
      <c r="C60" s="980"/>
      <c r="D60" s="592"/>
      <c r="E60" s="592"/>
      <c r="F60" s="592"/>
      <c r="G60" s="592"/>
      <c r="H60" s="592"/>
      <c r="I60" s="592"/>
      <c r="J60" s="592"/>
      <c r="K60" s="592"/>
      <c r="L60" s="593"/>
      <c r="M60" s="2"/>
      <c r="O60" s="11"/>
    </row>
    <row r="61" spans="2:16" x14ac:dyDescent="0.25">
      <c r="B61" s="975" t="str">
        <f>IF(Intro!$G$21="English",$O$16,$P$16)</f>
        <v>Select Yes or No</v>
      </c>
      <c r="C61" s="976"/>
      <c r="D61" s="592"/>
      <c r="E61" s="592"/>
      <c r="F61" s="592"/>
      <c r="G61" s="592"/>
      <c r="H61" s="592"/>
      <c r="I61" s="592"/>
      <c r="J61" s="592"/>
      <c r="K61" s="592"/>
      <c r="L61" s="593"/>
      <c r="M61" s="2"/>
      <c r="O61" s="11"/>
    </row>
    <row r="62" spans="2:16" x14ac:dyDescent="0.25">
      <c r="B62" s="981"/>
      <c r="C62" s="982"/>
      <c r="D62" s="592"/>
      <c r="E62" s="592"/>
      <c r="F62" s="592"/>
      <c r="G62" s="592"/>
      <c r="H62" s="592"/>
      <c r="I62" s="592"/>
      <c r="J62" s="592"/>
      <c r="K62" s="592"/>
      <c r="L62" s="593"/>
      <c r="M62" s="2"/>
      <c r="O62" s="11"/>
    </row>
    <row r="63" spans="2:16" x14ac:dyDescent="0.25">
      <c r="B63" s="973"/>
      <c r="C63" s="974"/>
      <c r="D63" s="592"/>
      <c r="E63" s="592"/>
      <c r="F63" s="592"/>
      <c r="G63" s="592"/>
      <c r="H63" s="592"/>
      <c r="I63" s="592"/>
      <c r="J63" s="592"/>
      <c r="K63" s="592"/>
      <c r="L63" s="593"/>
      <c r="M63" s="2"/>
      <c r="O63" s="11"/>
    </row>
    <row r="64" spans="2:16" x14ac:dyDescent="0.25">
      <c r="B64" s="983"/>
      <c r="C64" s="984"/>
      <c r="D64" s="592"/>
      <c r="E64" s="592"/>
      <c r="F64" s="592"/>
      <c r="G64" s="592"/>
      <c r="H64" s="592"/>
      <c r="I64" s="592"/>
      <c r="J64" s="592"/>
      <c r="K64" s="592"/>
      <c r="L64" s="593"/>
      <c r="M64" s="2"/>
      <c r="O64" s="11"/>
    </row>
    <row r="65" spans="2:16" x14ac:dyDescent="0.25">
      <c r="B65" s="983"/>
      <c r="C65" s="984"/>
      <c r="D65" s="592"/>
      <c r="E65" s="592"/>
      <c r="F65" s="592"/>
      <c r="G65" s="592"/>
      <c r="H65" s="592"/>
      <c r="I65" s="592"/>
      <c r="J65" s="592"/>
      <c r="K65" s="592"/>
      <c r="L65" s="593"/>
      <c r="M65" s="2"/>
      <c r="O65" s="11"/>
    </row>
    <row r="66" spans="2:16" x14ac:dyDescent="0.25">
      <c r="B66" s="983"/>
      <c r="C66" s="984"/>
      <c r="D66" s="592"/>
      <c r="E66" s="592"/>
      <c r="F66" s="592"/>
      <c r="G66" s="592"/>
      <c r="H66" s="592"/>
      <c r="I66" s="592"/>
      <c r="J66" s="592"/>
      <c r="K66" s="592"/>
      <c r="L66" s="593"/>
      <c r="M66" s="2"/>
      <c r="O66" s="11"/>
    </row>
    <row r="67" spans="2:16" x14ac:dyDescent="0.25">
      <c r="B67" s="975"/>
      <c r="C67" s="976"/>
      <c r="D67" s="592"/>
      <c r="E67" s="592"/>
      <c r="F67" s="592"/>
      <c r="G67" s="592"/>
      <c r="H67" s="592"/>
      <c r="I67" s="592"/>
      <c r="J67" s="592"/>
      <c r="K67" s="592"/>
      <c r="L67" s="593"/>
      <c r="M67" s="2"/>
      <c r="O67" s="11"/>
    </row>
    <row r="68" spans="2:16" x14ac:dyDescent="0.25">
      <c r="B68" s="977" t="str">
        <f>IF(Intro!$G$21="English",O68,P68)</f>
        <v>Employees’ wages</v>
      </c>
      <c r="C68" s="978"/>
      <c r="D68" s="592"/>
      <c r="E68" s="592"/>
      <c r="F68" s="592"/>
      <c r="G68" s="592"/>
      <c r="H68" s="592"/>
      <c r="I68" s="592"/>
      <c r="J68" s="592"/>
      <c r="K68" s="592"/>
      <c r="L68" s="593"/>
      <c r="M68" s="2"/>
      <c r="O68" s="11" t="s">
        <v>300</v>
      </c>
      <c r="P68" s="11" t="s">
        <v>301</v>
      </c>
    </row>
    <row r="69" spans="2:16" x14ac:dyDescent="0.25">
      <c r="B69" s="979"/>
      <c r="C69" s="980"/>
      <c r="D69" s="592"/>
      <c r="E69" s="592"/>
      <c r="F69" s="592"/>
      <c r="G69" s="592"/>
      <c r="H69" s="592"/>
      <c r="I69" s="592"/>
      <c r="J69" s="592"/>
      <c r="K69" s="592"/>
      <c r="L69" s="593"/>
      <c r="M69" s="2"/>
      <c r="O69" s="11"/>
    </row>
    <row r="70" spans="2:16" x14ac:dyDescent="0.25">
      <c r="B70" s="979"/>
      <c r="C70" s="980"/>
      <c r="D70" s="592"/>
      <c r="E70" s="592"/>
      <c r="F70" s="592"/>
      <c r="G70" s="592"/>
      <c r="H70" s="592"/>
      <c r="I70" s="592"/>
      <c r="J70" s="592"/>
      <c r="K70" s="592"/>
      <c r="L70" s="593"/>
      <c r="M70" s="2"/>
      <c r="O70" s="11"/>
    </row>
    <row r="71" spans="2:16" x14ac:dyDescent="0.25">
      <c r="B71" s="975" t="str">
        <f>IF(Intro!$G$21="English",$O$16,$P$16)</f>
        <v>Select Yes or No</v>
      </c>
      <c r="C71" s="976"/>
      <c r="D71" s="592"/>
      <c r="E71" s="592"/>
      <c r="F71" s="592"/>
      <c r="G71" s="592"/>
      <c r="H71" s="592"/>
      <c r="I71" s="592"/>
      <c r="J71" s="592"/>
      <c r="K71" s="592"/>
      <c r="L71" s="593"/>
      <c r="M71" s="2"/>
      <c r="O71" s="11"/>
    </row>
    <row r="72" spans="2:16" x14ac:dyDescent="0.25">
      <c r="B72" s="981"/>
      <c r="C72" s="982"/>
      <c r="D72" s="592"/>
      <c r="E72" s="592"/>
      <c r="F72" s="592"/>
      <c r="G72" s="592"/>
      <c r="H72" s="592"/>
      <c r="I72" s="592"/>
      <c r="J72" s="592"/>
      <c r="K72" s="592"/>
      <c r="L72" s="593"/>
      <c r="M72" s="2"/>
      <c r="O72" s="11"/>
    </row>
    <row r="73" spans="2:16" x14ac:dyDescent="0.25">
      <c r="B73" s="973"/>
      <c r="C73" s="974"/>
      <c r="D73" s="592"/>
      <c r="E73" s="592"/>
      <c r="F73" s="592"/>
      <c r="G73" s="592"/>
      <c r="H73" s="592"/>
      <c r="I73" s="592"/>
      <c r="J73" s="592"/>
      <c r="K73" s="592"/>
      <c r="L73" s="593"/>
      <c r="M73" s="2"/>
      <c r="O73" s="11"/>
    </row>
    <row r="74" spans="2:16" x14ac:dyDescent="0.25">
      <c r="B74" s="983"/>
      <c r="C74" s="984"/>
      <c r="D74" s="592"/>
      <c r="E74" s="592"/>
      <c r="F74" s="592"/>
      <c r="G74" s="592"/>
      <c r="H74" s="592"/>
      <c r="I74" s="592"/>
      <c r="J74" s="592"/>
      <c r="K74" s="592"/>
      <c r="L74" s="593"/>
      <c r="M74" s="2"/>
      <c r="O74" s="11"/>
    </row>
    <row r="75" spans="2:16" x14ac:dyDescent="0.25">
      <c r="B75" s="983"/>
      <c r="C75" s="984"/>
      <c r="D75" s="592"/>
      <c r="E75" s="592"/>
      <c r="F75" s="592"/>
      <c r="G75" s="592"/>
      <c r="H75" s="592"/>
      <c r="I75" s="592"/>
      <c r="J75" s="592"/>
      <c r="K75" s="592"/>
      <c r="L75" s="593"/>
      <c r="M75" s="2"/>
      <c r="O75" s="11"/>
    </row>
    <row r="76" spans="2:16" x14ac:dyDescent="0.25">
      <c r="B76" s="983"/>
      <c r="C76" s="984"/>
      <c r="D76" s="592"/>
      <c r="E76" s="592"/>
      <c r="F76" s="592"/>
      <c r="G76" s="592"/>
      <c r="H76" s="592"/>
      <c r="I76" s="592"/>
      <c r="J76" s="592"/>
      <c r="K76" s="592"/>
      <c r="L76" s="593"/>
      <c r="M76" s="2"/>
      <c r="O76" s="11"/>
    </row>
    <row r="77" spans="2:16" x14ac:dyDescent="0.25">
      <c r="B77" s="975"/>
      <c r="C77" s="976"/>
      <c r="D77" s="592"/>
      <c r="E77" s="592"/>
      <c r="F77" s="592"/>
      <c r="G77" s="592"/>
      <c r="H77" s="592"/>
      <c r="I77" s="592"/>
      <c r="J77" s="592"/>
      <c r="K77" s="592"/>
      <c r="L77" s="593"/>
      <c r="M77" s="2"/>
      <c r="O77" s="11"/>
    </row>
    <row r="78" spans="2:16" x14ac:dyDescent="0.25">
      <c r="B78" s="977" t="str">
        <f>IF(Intro!$G$21="English",O78,P78)</f>
        <v>Hours worked</v>
      </c>
      <c r="C78" s="978"/>
      <c r="D78" s="592"/>
      <c r="E78" s="592"/>
      <c r="F78" s="592"/>
      <c r="G78" s="592"/>
      <c r="H78" s="592"/>
      <c r="I78" s="592"/>
      <c r="J78" s="592"/>
      <c r="K78" s="592"/>
      <c r="L78" s="593"/>
      <c r="M78" s="2"/>
      <c r="O78" s="11" t="s">
        <v>302</v>
      </c>
      <c r="P78" s="11" t="s">
        <v>303</v>
      </c>
    </row>
    <row r="79" spans="2:16" x14ac:dyDescent="0.25">
      <c r="B79" s="979"/>
      <c r="C79" s="980"/>
      <c r="D79" s="592"/>
      <c r="E79" s="592"/>
      <c r="F79" s="592"/>
      <c r="G79" s="592"/>
      <c r="H79" s="592"/>
      <c r="I79" s="592"/>
      <c r="J79" s="592"/>
      <c r="K79" s="592"/>
      <c r="L79" s="593"/>
      <c r="M79" s="2"/>
      <c r="O79" s="11"/>
    </row>
    <row r="80" spans="2:16" x14ac:dyDescent="0.25">
      <c r="B80" s="979"/>
      <c r="C80" s="980"/>
      <c r="D80" s="592"/>
      <c r="E80" s="592"/>
      <c r="F80" s="592"/>
      <c r="G80" s="592"/>
      <c r="H80" s="592"/>
      <c r="I80" s="592"/>
      <c r="J80" s="592"/>
      <c r="K80" s="592"/>
      <c r="L80" s="593"/>
      <c r="M80" s="2"/>
      <c r="O80" s="11"/>
    </row>
    <row r="81" spans="2:16" x14ac:dyDescent="0.25">
      <c r="B81" s="975" t="str">
        <f>IF(Intro!$G$21="English",$O$16,$P$16)</f>
        <v>Select Yes or No</v>
      </c>
      <c r="C81" s="976"/>
      <c r="D81" s="592"/>
      <c r="E81" s="592"/>
      <c r="F81" s="592"/>
      <c r="G81" s="592"/>
      <c r="H81" s="592"/>
      <c r="I81" s="592"/>
      <c r="J81" s="592"/>
      <c r="K81" s="592"/>
      <c r="L81" s="593"/>
      <c r="M81" s="2"/>
      <c r="O81" s="11"/>
    </row>
    <row r="82" spans="2:16" x14ac:dyDescent="0.25">
      <c r="B82" s="981"/>
      <c r="C82" s="982"/>
      <c r="D82" s="592"/>
      <c r="E82" s="592"/>
      <c r="F82" s="592"/>
      <c r="G82" s="592"/>
      <c r="H82" s="592"/>
      <c r="I82" s="592"/>
      <c r="J82" s="592"/>
      <c r="K82" s="592"/>
      <c r="L82" s="593"/>
      <c r="M82" s="2"/>
      <c r="O82" s="11"/>
    </row>
    <row r="83" spans="2:16" x14ac:dyDescent="0.25">
      <c r="B83" s="973"/>
      <c r="C83" s="974"/>
      <c r="D83" s="592"/>
      <c r="E83" s="592"/>
      <c r="F83" s="592"/>
      <c r="G83" s="592"/>
      <c r="H83" s="592"/>
      <c r="I83" s="592"/>
      <c r="J83" s="592"/>
      <c r="K83" s="592"/>
      <c r="L83" s="593"/>
      <c r="M83" s="2"/>
      <c r="O83" s="11"/>
    </row>
    <row r="84" spans="2:16" x14ac:dyDescent="0.25">
      <c r="B84" s="983"/>
      <c r="C84" s="984"/>
      <c r="D84" s="592"/>
      <c r="E84" s="592"/>
      <c r="F84" s="592"/>
      <c r="G84" s="592"/>
      <c r="H84" s="592"/>
      <c r="I84" s="592"/>
      <c r="J84" s="592"/>
      <c r="K84" s="592"/>
      <c r="L84" s="593"/>
      <c r="M84" s="2"/>
      <c r="O84" s="11"/>
    </row>
    <row r="85" spans="2:16" x14ac:dyDescent="0.25">
      <c r="B85" s="983"/>
      <c r="C85" s="984"/>
      <c r="D85" s="592"/>
      <c r="E85" s="592"/>
      <c r="F85" s="592"/>
      <c r="G85" s="592"/>
      <c r="H85" s="592"/>
      <c r="I85" s="592"/>
      <c r="J85" s="592"/>
      <c r="K85" s="592"/>
      <c r="L85" s="593"/>
      <c r="M85" s="2"/>
      <c r="O85" s="11"/>
    </row>
    <row r="86" spans="2:16" x14ac:dyDescent="0.25">
      <c r="B86" s="983"/>
      <c r="C86" s="984"/>
      <c r="D86" s="592"/>
      <c r="E86" s="592"/>
      <c r="F86" s="592"/>
      <c r="G86" s="592"/>
      <c r="H86" s="592"/>
      <c r="I86" s="592"/>
      <c r="J86" s="592"/>
      <c r="K86" s="592"/>
      <c r="L86" s="593"/>
      <c r="M86" s="2"/>
      <c r="O86" s="11"/>
    </row>
    <row r="87" spans="2:16" x14ac:dyDescent="0.25">
      <c r="B87" s="975"/>
      <c r="C87" s="976"/>
      <c r="D87" s="592"/>
      <c r="E87" s="592"/>
      <c r="F87" s="592"/>
      <c r="G87" s="592"/>
      <c r="H87" s="592"/>
      <c r="I87" s="592"/>
      <c r="J87" s="592"/>
      <c r="K87" s="592"/>
      <c r="L87" s="593"/>
      <c r="M87" s="2"/>
      <c r="O87" s="11"/>
    </row>
    <row r="88" spans="2:16" x14ac:dyDescent="0.25">
      <c r="B88" s="977" t="str">
        <f>IF(Intro!$G$21="English",O88,P88)</f>
        <v>Pension plans</v>
      </c>
      <c r="C88" s="978"/>
      <c r="D88" s="592"/>
      <c r="E88" s="592"/>
      <c r="F88" s="592"/>
      <c r="G88" s="592"/>
      <c r="H88" s="592"/>
      <c r="I88" s="592"/>
      <c r="J88" s="592"/>
      <c r="K88" s="592"/>
      <c r="L88" s="593"/>
      <c r="M88" s="2"/>
      <c r="O88" s="11" t="s">
        <v>304</v>
      </c>
      <c r="P88" s="11" t="s">
        <v>305</v>
      </c>
    </row>
    <row r="89" spans="2:16" x14ac:dyDescent="0.25">
      <c r="B89" s="979"/>
      <c r="C89" s="980"/>
      <c r="D89" s="592"/>
      <c r="E89" s="592"/>
      <c r="F89" s="592"/>
      <c r="G89" s="592"/>
      <c r="H89" s="592"/>
      <c r="I89" s="592"/>
      <c r="J89" s="592"/>
      <c r="K89" s="592"/>
      <c r="L89" s="593"/>
      <c r="M89" s="2"/>
      <c r="O89" s="11"/>
    </row>
    <row r="90" spans="2:16" x14ac:dyDescent="0.25">
      <c r="B90" s="979"/>
      <c r="C90" s="980"/>
      <c r="D90" s="592"/>
      <c r="E90" s="592"/>
      <c r="F90" s="592"/>
      <c r="G90" s="592"/>
      <c r="H90" s="592"/>
      <c r="I90" s="592"/>
      <c r="J90" s="592"/>
      <c r="K90" s="592"/>
      <c r="L90" s="593"/>
      <c r="M90" s="2"/>
      <c r="O90" s="11"/>
    </row>
    <row r="91" spans="2:16" x14ac:dyDescent="0.25">
      <c r="B91" s="975" t="str">
        <f>IF(Intro!$G$21="English",$O$16,$P$16)</f>
        <v>Select Yes or No</v>
      </c>
      <c r="C91" s="976"/>
      <c r="D91" s="592"/>
      <c r="E91" s="592"/>
      <c r="F91" s="592"/>
      <c r="G91" s="592"/>
      <c r="H91" s="592"/>
      <c r="I91" s="592"/>
      <c r="J91" s="592"/>
      <c r="K91" s="592"/>
      <c r="L91" s="593"/>
      <c r="M91" s="2"/>
      <c r="O91" s="11"/>
    </row>
    <row r="92" spans="2:16" x14ac:dyDescent="0.25">
      <c r="B92" s="981"/>
      <c r="C92" s="982"/>
      <c r="D92" s="592"/>
      <c r="E92" s="592"/>
      <c r="F92" s="592"/>
      <c r="G92" s="592"/>
      <c r="H92" s="592"/>
      <c r="I92" s="592"/>
      <c r="J92" s="592"/>
      <c r="K92" s="592"/>
      <c r="L92" s="593"/>
      <c r="M92" s="2"/>
      <c r="O92" s="11"/>
    </row>
    <row r="93" spans="2:16" x14ac:dyDescent="0.25">
      <c r="B93" s="973"/>
      <c r="C93" s="974"/>
      <c r="D93" s="592"/>
      <c r="E93" s="592"/>
      <c r="F93" s="592"/>
      <c r="G93" s="592"/>
      <c r="H93" s="592"/>
      <c r="I93" s="592"/>
      <c r="J93" s="592"/>
      <c r="K93" s="592"/>
      <c r="L93" s="593"/>
      <c r="M93" s="2"/>
      <c r="O93" s="11"/>
    </row>
    <row r="94" spans="2:16" x14ac:dyDescent="0.25">
      <c r="B94" s="983"/>
      <c r="C94" s="984"/>
      <c r="D94" s="592"/>
      <c r="E94" s="592"/>
      <c r="F94" s="592"/>
      <c r="G94" s="592"/>
      <c r="H94" s="592"/>
      <c r="I94" s="592"/>
      <c r="J94" s="592"/>
      <c r="K94" s="592"/>
      <c r="L94" s="593"/>
      <c r="M94" s="2"/>
      <c r="O94" s="11"/>
    </row>
    <row r="95" spans="2:16" x14ac:dyDescent="0.25">
      <c r="B95" s="983"/>
      <c r="C95" s="984"/>
      <c r="D95" s="592"/>
      <c r="E95" s="592"/>
      <c r="F95" s="592"/>
      <c r="G95" s="592"/>
      <c r="H95" s="592"/>
      <c r="I95" s="592"/>
      <c r="J95" s="592"/>
      <c r="K95" s="592"/>
      <c r="L95" s="593"/>
      <c r="M95" s="2"/>
      <c r="O95" s="11"/>
    </row>
    <row r="96" spans="2:16" x14ac:dyDescent="0.25">
      <c r="B96" s="983"/>
      <c r="C96" s="984"/>
      <c r="D96" s="592"/>
      <c r="E96" s="592"/>
      <c r="F96" s="592"/>
      <c r="G96" s="592"/>
      <c r="H96" s="592"/>
      <c r="I96" s="592"/>
      <c r="J96" s="592"/>
      <c r="K96" s="592"/>
      <c r="L96" s="593"/>
      <c r="M96" s="2"/>
      <c r="O96" s="11"/>
    </row>
    <row r="97" spans="2:16" x14ac:dyDescent="0.25">
      <c r="B97" s="975"/>
      <c r="C97" s="976"/>
      <c r="D97" s="592"/>
      <c r="E97" s="592"/>
      <c r="F97" s="592"/>
      <c r="G97" s="592"/>
      <c r="H97" s="592"/>
      <c r="I97" s="592"/>
      <c r="J97" s="592"/>
      <c r="K97" s="592"/>
      <c r="L97" s="593"/>
      <c r="M97" s="2"/>
      <c r="O97" s="11"/>
    </row>
    <row r="98" spans="2:16" x14ac:dyDescent="0.25">
      <c r="B98" s="977" t="str">
        <f>IF(Intro!$G$21="English",O98,P98)</f>
        <v>Benefits</v>
      </c>
      <c r="C98" s="978"/>
      <c r="D98" s="592"/>
      <c r="E98" s="592"/>
      <c r="F98" s="592"/>
      <c r="G98" s="592"/>
      <c r="H98" s="592"/>
      <c r="I98" s="592"/>
      <c r="J98" s="592"/>
      <c r="K98" s="592"/>
      <c r="L98" s="593"/>
      <c r="M98" s="2"/>
      <c r="O98" s="11" t="s">
        <v>306</v>
      </c>
      <c r="P98" s="11" t="s">
        <v>307</v>
      </c>
    </row>
    <row r="99" spans="2:16" x14ac:dyDescent="0.25">
      <c r="B99" s="979"/>
      <c r="C99" s="980"/>
      <c r="D99" s="592"/>
      <c r="E99" s="592"/>
      <c r="F99" s="592"/>
      <c r="G99" s="592"/>
      <c r="H99" s="592"/>
      <c r="I99" s="592"/>
      <c r="J99" s="592"/>
      <c r="K99" s="592"/>
      <c r="L99" s="593"/>
      <c r="M99" s="2"/>
    </row>
    <row r="100" spans="2:16" x14ac:dyDescent="0.25">
      <c r="B100" s="979"/>
      <c r="C100" s="980"/>
      <c r="D100" s="592"/>
      <c r="E100" s="592"/>
      <c r="F100" s="592"/>
      <c r="G100" s="592"/>
      <c r="H100" s="592"/>
      <c r="I100" s="592"/>
      <c r="J100" s="592"/>
      <c r="K100" s="592"/>
      <c r="L100" s="593"/>
      <c r="M100" s="2"/>
    </row>
    <row r="101" spans="2:16" x14ac:dyDescent="0.25">
      <c r="B101" s="975" t="str">
        <f>IF(Intro!$G$21="English",$O$16,$P$16)</f>
        <v>Select Yes or No</v>
      </c>
      <c r="C101" s="976"/>
      <c r="D101" s="592"/>
      <c r="E101" s="592"/>
      <c r="F101" s="592"/>
      <c r="G101" s="592"/>
      <c r="H101" s="592"/>
      <c r="I101" s="592"/>
      <c r="J101" s="592"/>
      <c r="K101" s="592"/>
      <c r="L101" s="593"/>
      <c r="M101" s="2"/>
      <c r="O101" s="11"/>
    </row>
    <row r="102" spans="2:16" x14ac:dyDescent="0.25">
      <c r="B102" s="981"/>
      <c r="C102" s="982"/>
      <c r="D102" s="592"/>
      <c r="E102" s="592"/>
      <c r="F102" s="592"/>
      <c r="G102" s="592"/>
      <c r="H102" s="592"/>
      <c r="I102" s="592"/>
      <c r="J102" s="592"/>
      <c r="K102" s="592"/>
      <c r="L102" s="593"/>
      <c r="M102" s="2"/>
      <c r="O102" s="11"/>
    </row>
    <row r="103" spans="2:16" x14ac:dyDescent="0.25">
      <c r="B103" s="973"/>
      <c r="C103" s="974"/>
      <c r="D103" s="592"/>
      <c r="E103" s="592"/>
      <c r="F103" s="592"/>
      <c r="G103" s="592"/>
      <c r="H103" s="592"/>
      <c r="I103" s="592"/>
      <c r="J103" s="592"/>
      <c r="K103" s="592"/>
      <c r="L103" s="593"/>
      <c r="M103" s="2"/>
      <c r="O103" s="11"/>
    </row>
    <row r="104" spans="2:16" x14ac:dyDescent="0.25">
      <c r="B104" s="983"/>
      <c r="C104" s="984"/>
      <c r="D104" s="592"/>
      <c r="E104" s="592"/>
      <c r="F104" s="592"/>
      <c r="G104" s="592"/>
      <c r="H104" s="592"/>
      <c r="I104" s="592"/>
      <c r="J104" s="592"/>
      <c r="K104" s="592"/>
      <c r="L104" s="593"/>
      <c r="M104" s="2"/>
      <c r="O104" s="11"/>
    </row>
    <row r="105" spans="2:16" x14ac:dyDescent="0.25">
      <c r="B105" s="983"/>
      <c r="C105" s="984"/>
      <c r="D105" s="592"/>
      <c r="E105" s="592"/>
      <c r="F105" s="592"/>
      <c r="G105" s="592"/>
      <c r="H105" s="592"/>
      <c r="I105" s="592"/>
      <c r="J105" s="592"/>
      <c r="K105" s="592"/>
      <c r="L105" s="593"/>
      <c r="M105" s="2"/>
      <c r="O105" s="11"/>
    </row>
    <row r="106" spans="2:16" x14ac:dyDescent="0.25">
      <c r="B106" s="983"/>
      <c r="C106" s="984"/>
      <c r="D106" s="592"/>
      <c r="E106" s="592"/>
      <c r="F106" s="592"/>
      <c r="G106" s="592"/>
      <c r="H106" s="592"/>
      <c r="I106" s="592"/>
      <c r="J106" s="592"/>
      <c r="K106" s="592"/>
      <c r="L106" s="593"/>
      <c r="M106" s="2"/>
      <c r="O106" s="11"/>
    </row>
    <row r="107" spans="2:16" x14ac:dyDescent="0.25">
      <c r="B107" s="975"/>
      <c r="C107" s="976"/>
      <c r="D107" s="592"/>
      <c r="E107" s="592"/>
      <c r="F107" s="592"/>
      <c r="G107" s="592"/>
      <c r="H107" s="592"/>
      <c r="I107" s="592"/>
      <c r="J107" s="592"/>
      <c r="K107" s="592"/>
      <c r="L107" s="593"/>
      <c r="M107" s="2"/>
      <c r="O107" s="11"/>
    </row>
    <row r="108" spans="2:16" x14ac:dyDescent="0.25">
      <c r="B108" s="977" t="str">
        <f>IF(Intro!$G$21="English",O108,P108)</f>
        <v>Worker training and safety</v>
      </c>
      <c r="C108" s="978"/>
      <c r="D108" s="592"/>
      <c r="E108" s="592"/>
      <c r="F108" s="592"/>
      <c r="G108" s="592"/>
      <c r="H108" s="592"/>
      <c r="I108" s="592"/>
      <c r="J108" s="592"/>
      <c r="K108" s="592"/>
      <c r="L108" s="593"/>
      <c r="M108" s="2"/>
      <c r="O108" s="11" t="s">
        <v>308</v>
      </c>
      <c r="P108" s="11" t="s">
        <v>309</v>
      </c>
    </row>
    <row r="109" spans="2:16" x14ac:dyDescent="0.25">
      <c r="B109" s="979"/>
      <c r="C109" s="980"/>
      <c r="D109" s="592"/>
      <c r="E109" s="592"/>
      <c r="F109" s="592"/>
      <c r="G109" s="592"/>
      <c r="H109" s="592"/>
      <c r="I109" s="592"/>
      <c r="J109" s="592"/>
      <c r="K109" s="592"/>
      <c r="L109" s="593"/>
      <c r="M109" s="2"/>
      <c r="O109" s="11"/>
      <c r="P109" s="11"/>
    </row>
    <row r="110" spans="2:16" x14ac:dyDescent="0.25">
      <c r="B110" s="979"/>
      <c r="C110" s="980"/>
      <c r="D110" s="592"/>
      <c r="E110" s="592"/>
      <c r="F110" s="592"/>
      <c r="G110" s="592"/>
      <c r="H110" s="592"/>
      <c r="I110" s="592"/>
      <c r="J110" s="592"/>
      <c r="K110" s="592"/>
      <c r="L110" s="593"/>
      <c r="M110" s="2"/>
      <c r="O110" s="11"/>
    </row>
    <row r="111" spans="2:16" x14ac:dyDescent="0.25">
      <c r="B111" s="975" t="str">
        <f>IF(Intro!$G$21="English",$O$16,$P$16)</f>
        <v>Select Yes or No</v>
      </c>
      <c r="C111" s="976"/>
      <c r="D111" s="592"/>
      <c r="E111" s="592"/>
      <c r="F111" s="592"/>
      <c r="G111" s="592"/>
      <c r="H111" s="592"/>
      <c r="I111" s="592"/>
      <c r="J111" s="592"/>
      <c r="K111" s="592"/>
      <c r="L111" s="593"/>
      <c r="M111" s="2"/>
      <c r="O111" s="11"/>
    </row>
    <row r="112" spans="2:16" x14ac:dyDescent="0.25">
      <c r="B112" s="981"/>
      <c r="C112" s="982"/>
      <c r="D112" s="592"/>
      <c r="E112" s="592"/>
      <c r="F112" s="592"/>
      <c r="G112" s="592"/>
      <c r="H112" s="592"/>
      <c r="I112" s="592"/>
      <c r="J112" s="592"/>
      <c r="K112" s="592"/>
      <c r="L112" s="593"/>
      <c r="M112" s="2"/>
      <c r="O112" s="11"/>
    </row>
    <row r="113" spans="2:16" x14ac:dyDescent="0.25">
      <c r="B113" s="973"/>
      <c r="C113" s="974"/>
      <c r="D113" s="592"/>
      <c r="E113" s="592"/>
      <c r="F113" s="592"/>
      <c r="G113" s="592"/>
      <c r="H113" s="592"/>
      <c r="I113" s="592"/>
      <c r="J113" s="592"/>
      <c r="K113" s="592"/>
      <c r="L113" s="593"/>
      <c r="M113" s="2"/>
      <c r="O113" s="11"/>
    </row>
    <row r="114" spans="2:16" x14ac:dyDescent="0.25">
      <c r="B114" s="983"/>
      <c r="C114" s="984"/>
      <c r="D114" s="592"/>
      <c r="E114" s="592"/>
      <c r="F114" s="592"/>
      <c r="G114" s="592"/>
      <c r="H114" s="592"/>
      <c r="I114" s="592"/>
      <c r="J114" s="592"/>
      <c r="K114" s="592"/>
      <c r="L114" s="593"/>
      <c r="M114" s="2"/>
      <c r="O114" s="11"/>
    </row>
    <row r="115" spans="2:16" x14ac:dyDescent="0.25">
      <c r="B115" s="983"/>
      <c r="C115" s="984"/>
      <c r="D115" s="592"/>
      <c r="E115" s="592"/>
      <c r="F115" s="592"/>
      <c r="G115" s="592"/>
      <c r="H115" s="592"/>
      <c r="I115" s="592"/>
      <c r="J115" s="592"/>
      <c r="K115" s="592"/>
      <c r="L115" s="593"/>
      <c r="M115" s="2"/>
      <c r="O115" s="11"/>
    </row>
    <row r="116" spans="2:16" x14ac:dyDescent="0.25">
      <c r="B116" s="983"/>
      <c r="C116" s="984"/>
      <c r="D116" s="592"/>
      <c r="E116" s="592"/>
      <c r="F116" s="592"/>
      <c r="G116" s="592"/>
      <c r="H116" s="592"/>
      <c r="I116" s="592"/>
      <c r="J116" s="592"/>
      <c r="K116" s="592"/>
      <c r="L116" s="593"/>
      <c r="M116" s="2"/>
      <c r="O116" s="11"/>
    </row>
    <row r="117" spans="2:16" x14ac:dyDescent="0.25">
      <c r="B117" s="975"/>
      <c r="C117" s="976"/>
      <c r="D117" s="592"/>
      <c r="E117" s="592"/>
      <c r="F117" s="592"/>
      <c r="G117" s="592"/>
      <c r="H117" s="592"/>
      <c r="I117" s="592"/>
      <c r="J117" s="592"/>
      <c r="K117" s="592"/>
      <c r="L117" s="593"/>
      <c r="M117" s="2"/>
      <c r="O117" s="11"/>
    </row>
    <row r="118" spans="2:16" x14ac:dyDescent="0.25">
      <c r="B118" s="977" t="str">
        <f>IF(Intro!$G$21="English",O118,P118)</f>
        <v>Other relevant factors</v>
      </c>
      <c r="C118" s="978"/>
      <c r="D118" s="592"/>
      <c r="E118" s="592"/>
      <c r="F118" s="592"/>
      <c r="G118" s="592"/>
      <c r="H118" s="592"/>
      <c r="I118" s="592"/>
      <c r="J118" s="592"/>
      <c r="K118" s="592"/>
      <c r="L118" s="593"/>
      <c r="M118" s="2"/>
      <c r="O118" s="11" t="s">
        <v>94</v>
      </c>
      <c r="P118" s="11" t="s">
        <v>95</v>
      </c>
    </row>
    <row r="119" spans="2:16" x14ac:dyDescent="0.25">
      <c r="B119" s="979"/>
      <c r="C119" s="980"/>
      <c r="D119" s="592"/>
      <c r="E119" s="592"/>
      <c r="F119" s="592"/>
      <c r="G119" s="592"/>
      <c r="H119" s="592"/>
      <c r="I119" s="592"/>
      <c r="J119" s="592"/>
      <c r="K119" s="592"/>
      <c r="L119" s="593"/>
      <c r="M119" s="2"/>
    </row>
    <row r="120" spans="2:16" x14ac:dyDescent="0.25">
      <c r="B120" s="979"/>
      <c r="C120" s="980"/>
      <c r="D120" s="592"/>
      <c r="E120" s="592"/>
      <c r="F120" s="592"/>
      <c r="G120" s="592"/>
      <c r="H120" s="592"/>
      <c r="I120" s="592"/>
      <c r="J120" s="592"/>
      <c r="K120" s="592"/>
      <c r="L120" s="593"/>
      <c r="M120" s="2"/>
      <c r="O120" s="11"/>
    </row>
    <row r="121" spans="2:16" x14ac:dyDescent="0.25">
      <c r="B121" s="975" t="str">
        <f>IF(Intro!$G$21="English",$O$16,$P$16)</f>
        <v>Select Yes or No</v>
      </c>
      <c r="C121" s="976"/>
      <c r="D121" s="592"/>
      <c r="E121" s="592"/>
      <c r="F121" s="592"/>
      <c r="G121" s="592"/>
      <c r="H121" s="592"/>
      <c r="I121" s="592"/>
      <c r="J121" s="592"/>
      <c r="K121" s="592"/>
      <c r="L121" s="593"/>
      <c r="M121" s="2"/>
      <c r="O121" s="11"/>
    </row>
    <row r="122" spans="2:16" x14ac:dyDescent="0.25">
      <c r="B122" s="981"/>
      <c r="C122" s="982"/>
      <c r="D122" s="592"/>
      <c r="E122" s="592"/>
      <c r="F122" s="592"/>
      <c r="G122" s="592"/>
      <c r="H122" s="592"/>
      <c r="I122" s="592"/>
      <c r="J122" s="592"/>
      <c r="K122" s="592"/>
      <c r="L122" s="593"/>
      <c r="M122" s="2"/>
      <c r="O122" s="11"/>
    </row>
    <row r="123" spans="2:16" x14ac:dyDescent="0.25">
      <c r="B123" s="973"/>
      <c r="C123" s="974"/>
      <c r="D123" s="592"/>
      <c r="E123" s="592"/>
      <c r="F123" s="592"/>
      <c r="G123" s="592"/>
      <c r="H123" s="592"/>
      <c r="I123" s="592"/>
      <c r="J123" s="592"/>
      <c r="K123" s="592"/>
      <c r="L123" s="593"/>
      <c r="M123" s="2"/>
      <c r="O123" s="11"/>
    </row>
    <row r="124" spans="2:16" x14ac:dyDescent="0.25">
      <c r="B124" s="983"/>
      <c r="C124" s="984"/>
      <c r="D124" s="592"/>
      <c r="E124" s="592"/>
      <c r="F124" s="592"/>
      <c r="G124" s="592"/>
      <c r="H124" s="592"/>
      <c r="I124" s="592"/>
      <c r="J124" s="592"/>
      <c r="K124" s="592"/>
      <c r="L124" s="593"/>
      <c r="M124" s="2"/>
      <c r="O124" s="11"/>
    </row>
    <row r="125" spans="2:16" x14ac:dyDescent="0.25">
      <c r="B125" s="983"/>
      <c r="C125" s="984"/>
      <c r="D125" s="592"/>
      <c r="E125" s="592"/>
      <c r="F125" s="592"/>
      <c r="G125" s="592"/>
      <c r="H125" s="592"/>
      <c r="I125" s="592"/>
      <c r="J125" s="592"/>
      <c r="K125" s="592"/>
      <c r="L125" s="593"/>
      <c r="M125" s="2"/>
      <c r="O125" s="11"/>
    </row>
    <row r="126" spans="2:16" x14ac:dyDescent="0.25">
      <c r="B126" s="983"/>
      <c r="C126" s="984"/>
      <c r="D126" s="592"/>
      <c r="E126" s="592"/>
      <c r="F126" s="592"/>
      <c r="G126" s="592"/>
      <c r="H126" s="592"/>
      <c r="I126" s="592"/>
      <c r="J126" s="592"/>
      <c r="K126" s="592"/>
      <c r="L126" s="593"/>
      <c r="M126" s="2"/>
      <c r="O126" s="11"/>
    </row>
    <row r="127" spans="2:16" x14ac:dyDescent="0.25">
      <c r="B127" s="975"/>
      <c r="C127" s="976"/>
      <c r="D127" s="592"/>
      <c r="E127" s="592"/>
      <c r="F127" s="592"/>
      <c r="G127" s="592"/>
      <c r="H127" s="592"/>
      <c r="I127" s="592"/>
      <c r="J127" s="592"/>
      <c r="K127" s="592"/>
      <c r="L127" s="593"/>
      <c r="M127" s="2"/>
      <c r="O127" s="11"/>
    </row>
    <row r="128" spans="2:16" x14ac:dyDescent="0.25">
      <c r="B128" s="176"/>
      <c r="C128" s="177"/>
      <c r="D128" s="177"/>
      <c r="E128" s="177"/>
      <c r="F128" s="177"/>
      <c r="G128" s="177"/>
      <c r="H128" s="177"/>
      <c r="I128" s="177"/>
      <c r="J128" s="177"/>
      <c r="K128" s="177"/>
      <c r="L128" s="178"/>
      <c r="M128" s="2"/>
    </row>
    <row r="129" spans="1:16" x14ac:dyDescent="0.25">
      <c r="B129" s="618" t="str">
        <f>IF(Intro!$G$21="English",O129,P129)</f>
        <v>INJURY ALLEGATIONS</v>
      </c>
      <c r="C129" s="619"/>
      <c r="D129" s="619"/>
      <c r="E129" s="619"/>
      <c r="F129" s="619"/>
      <c r="G129" s="619"/>
      <c r="H129" s="619"/>
      <c r="I129" s="619"/>
      <c r="J129" s="619"/>
      <c r="K129" s="619"/>
      <c r="L129" s="620"/>
      <c r="M129" s="2"/>
      <c r="O129" s="2" t="s">
        <v>96</v>
      </c>
      <c r="P129" s="2" t="s">
        <v>97</v>
      </c>
    </row>
    <row r="130" spans="1:16" s="3" customFormat="1" x14ac:dyDescent="0.25">
      <c r="A130" s="12"/>
      <c r="B130" s="711" t="s">
        <v>21</v>
      </c>
      <c r="C130" s="712"/>
      <c r="D130" s="712"/>
      <c r="E130" s="712"/>
      <c r="F130" s="712"/>
      <c r="G130" s="712"/>
      <c r="H130" s="712"/>
      <c r="I130" s="712"/>
      <c r="J130" s="712"/>
      <c r="K130" s="712"/>
      <c r="L130" s="713"/>
      <c r="M130" s="168"/>
      <c r="O130" s="2"/>
    </row>
    <row r="131" spans="1:16" x14ac:dyDescent="0.25">
      <c r="B131" s="170"/>
      <c r="C131" s="171"/>
      <c r="D131" s="171"/>
      <c r="E131" s="171"/>
      <c r="F131" s="171"/>
      <c r="G131" s="171"/>
      <c r="H131" s="171"/>
      <c r="I131" s="171"/>
      <c r="J131" s="171"/>
      <c r="K131" s="171"/>
      <c r="L131" s="172"/>
      <c r="M131" s="2"/>
    </row>
    <row r="132" spans="1:16" x14ac:dyDescent="0.25">
      <c r="B132" s="612" t="str">
        <f>IF(Intro!$G$21="English",O132,P132)</f>
        <v>According to the Tribunal’s Guideline on the Designation, Protection, Use and Transmission of Confidential Information (the Guideline), domestic producers are under no obligation to provide customer-specific injury allegations, as these are not essential to the conduct of an inquiry or a review. However, where a party decides to submit customer-specific injury allegations, the Tribunal is interested in quality rather than quantity.</v>
      </c>
      <c r="C132" s="613"/>
      <c r="D132" s="613"/>
      <c r="E132" s="613"/>
      <c r="F132" s="613"/>
      <c r="G132" s="613"/>
      <c r="H132" s="613"/>
      <c r="I132" s="613"/>
      <c r="J132" s="613"/>
      <c r="K132" s="613"/>
      <c r="L132" s="614"/>
      <c r="M132" s="2"/>
      <c r="O132" s="2" t="s">
        <v>259</v>
      </c>
      <c r="P132" s="2" t="s">
        <v>260</v>
      </c>
    </row>
    <row r="133" spans="1:16" x14ac:dyDescent="0.25">
      <c r="B133" s="612"/>
      <c r="C133" s="613"/>
      <c r="D133" s="613"/>
      <c r="E133" s="613"/>
      <c r="F133" s="613"/>
      <c r="G133" s="613"/>
      <c r="H133" s="613"/>
      <c r="I133" s="613"/>
      <c r="J133" s="613"/>
      <c r="K133" s="613"/>
      <c r="L133" s="614"/>
      <c r="M133" s="2"/>
    </row>
    <row r="134" spans="1:16" x14ac:dyDescent="0.25">
      <c r="B134" s="612"/>
      <c r="C134" s="613"/>
      <c r="D134" s="613"/>
      <c r="E134" s="613"/>
      <c r="F134" s="613"/>
      <c r="G134" s="613"/>
      <c r="H134" s="613"/>
      <c r="I134" s="613"/>
      <c r="J134" s="613"/>
      <c r="K134" s="613"/>
      <c r="L134" s="614"/>
      <c r="M134" s="2"/>
    </row>
    <row r="135" spans="1:16" x14ac:dyDescent="0.25">
      <c r="B135" s="159"/>
      <c r="C135" s="160"/>
      <c r="D135" s="160"/>
      <c r="E135" s="160"/>
      <c r="F135" s="160"/>
      <c r="G135" s="160"/>
      <c r="H135" s="160"/>
      <c r="I135" s="160"/>
      <c r="J135" s="160"/>
      <c r="K135" s="160"/>
      <c r="L135" s="161"/>
      <c r="M135" s="2"/>
    </row>
    <row r="136" spans="1:16" x14ac:dyDescent="0.25">
      <c r="B136" s="612" t="str">
        <f>IF(Intro!$G$21="English",O136,P136)</f>
        <v xml:space="preserve">If your firm would like to make customer-specific injury allegations for which it believes that the subject goods have caused it to lose accounts, lose some sales to an account, or reduce or suppress prices to retain sales, then provide the information requested below. </v>
      </c>
      <c r="C136" s="613"/>
      <c r="D136" s="613"/>
      <c r="E136" s="613"/>
      <c r="F136" s="613"/>
      <c r="G136" s="613"/>
      <c r="H136" s="613"/>
      <c r="I136" s="613"/>
      <c r="J136" s="613"/>
      <c r="K136" s="613"/>
      <c r="L136" s="614"/>
      <c r="M136" s="2"/>
      <c r="O136" s="2" t="s">
        <v>426</v>
      </c>
      <c r="P136" s="2" t="s">
        <v>594</v>
      </c>
    </row>
    <row r="137" spans="1:16" x14ac:dyDescent="0.25">
      <c r="B137" s="612"/>
      <c r="C137" s="613"/>
      <c r="D137" s="613"/>
      <c r="E137" s="613"/>
      <c r="F137" s="613"/>
      <c r="G137" s="613"/>
      <c r="H137" s="613"/>
      <c r="I137" s="613"/>
      <c r="J137" s="613"/>
      <c r="K137" s="613"/>
      <c r="L137" s="614"/>
      <c r="M137" s="2"/>
    </row>
    <row r="138" spans="1:16" x14ac:dyDescent="0.25">
      <c r="B138" s="159"/>
      <c r="C138" s="160"/>
      <c r="D138" s="160"/>
      <c r="E138" s="160"/>
      <c r="F138" s="160"/>
      <c r="G138" s="160"/>
      <c r="H138" s="160"/>
      <c r="I138" s="160"/>
      <c r="J138" s="160"/>
      <c r="K138" s="160"/>
      <c r="L138" s="161"/>
      <c r="M138" s="2"/>
    </row>
    <row r="139" spans="1:16" x14ac:dyDescent="0.25">
      <c r="B139" s="612" t="str">
        <f>IF(Intro!$G$21="English",O139,P139)</f>
        <v>These allegations should be detailed, concrete, substantiated and verifiable. However, they should be limited in number to a sample of no more than 10, which is reasonably representative of the nature of the injury that is being alleged.</v>
      </c>
      <c r="C139" s="613"/>
      <c r="D139" s="613"/>
      <c r="E139" s="613"/>
      <c r="F139" s="613"/>
      <c r="G139" s="613"/>
      <c r="H139" s="613"/>
      <c r="I139" s="613"/>
      <c r="J139" s="613"/>
      <c r="K139" s="613"/>
      <c r="L139" s="614"/>
      <c r="M139" s="2"/>
      <c r="O139" s="11" t="s">
        <v>388</v>
      </c>
      <c r="P139" s="2" t="s">
        <v>389</v>
      </c>
    </row>
    <row r="140" spans="1:16" x14ac:dyDescent="0.25">
      <c r="B140" s="612"/>
      <c r="C140" s="613"/>
      <c r="D140" s="613"/>
      <c r="E140" s="613"/>
      <c r="F140" s="613"/>
      <c r="G140" s="613"/>
      <c r="H140" s="613"/>
      <c r="I140" s="613"/>
      <c r="J140" s="613"/>
      <c r="K140" s="613"/>
      <c r="L140" s="614"/>
      <c r="M140" s="2"/>
      <c r="O140" s="11"/>
    </row>
    <row r="141" spans="1:16" x14ac:dyDescent="0.25">
      <c r="B141" s="159"/>
      <c r="C141" s="160"/>
      <c r="D141" s="160"/>
      <c r="E141" s="160"/>
      <c r="F141" s="160"/>
      <c r="G141" s="160"/>
      <c r="H141" s="160"/>
      <c r="I141" s="160"/>
      <c r="J141" s="160"/>
      <c r="K141" s="160"/>
      <c r="L141" s="161"/>
      <c r="M141" s="2"/>
      <c r="O141" s="11"/>
    </row>
    <row r="142" spans="1:16" x14ac:dyDescent="0.25">
      <c r="B142" s="612" t="str">
        <f>IF(Intro!$G$21="English",O142,P142)</f>
        <v>NOTE:</v>
      </c>
      <c r="C142" s="613"/>
      <c r="D142" s="613"/>
      <c r="E142" s="613"/>
      <c r="F142" s="613"/>
      <c r="G142" s="613"/>
      <c r="H142" s="613"/>
      <c r="I142" s="613"/>
      <c r="J142" s="613"/>
      <c r="K142" s="613"/>
      <c r="L142" s="614"/>
      <c r="M142" s="2"/>
      <c r="O142" s="11" t="s">
        <v>98</v>
      </c>
      <c r="P142" s="2" t="s">
        <v>99</v>
      </c>
    </row>
    <row r="143" spans="1:16" x14ac:dyDescent="0.25">
      <c r="B143" s="612" t="str">
        <f>IF(Intro!$G$21="English",O143,P143)</f>
        <v xml:space="preserve">1. In accordance with the Guideline, some of the information included in your firm's injury allegations is considered by the Tribunal to be public/non-confidential in nature. This information is indicated by the letter “P”. This information will be used to generate your firm's response in the "Confirm" blue tab. Consequently, review to ensure that all information provided under the columns labelled "P" is public/non-confidential in nature. </v>
      </c>
      <c r="C143" s="613"/>
      <c r="D143" s="613"/>
      <c r="E143" s="613"/>
      <c r="F143" s="613"/>
      <c r="G143" s="613"/>
      <c r="H143" s="613"/>
      <c r="I143" s="613"/>
      <c r="J143" s="613"/>
      <c r="K143" s="613"/>
      <c r="L143" s="614"/>
      <c r="M143" s="2"/>
      <c r="O143" s="11" t="s">
        <v>364</v>
      </c>
      <c r="P143" s="2" t="s">
        <v>365</v>
      </c>
    </row>
    <row r="144" spans="1:16" x14ac:dyDescent="0.25">
      <c r="B144" s="612"/>
      <c r="C144" s="613"/>
      <c r="D144" s="613"/>
      <c r="E144" s="613"/>
      <c r="F144" s="613"/>
      <c r="G144" s="613"/>
      <c r="H144" s="613"/>
      <c r="I144" s="613"/>
      <c r="J144" s="613"/>
      <c r="K144" s="613"/>
      <c r="L144" s="614"/>
      <c r="M144" s="2"/>
      <c r="O144" s="11"/>
    </row>
    <row r="145" spans="1:16" x14ac:dyDescent="0.25">
      <c r="B145" s="612"/>
      <c r="C145" s="613"/>
      <c r="D145" s="613"/>
      <c r="E145" s="613"/>
      <c r="F145" s="613"/>
      <c r="G145" s="613"/>
      <c r="H145" s="613"/>
      <c r="I145" s="613"/>
      <c r="J145" s="613"/>
      <c r="K145" s="613"/>
      <c r="L145" s="614"/>
      <c r="M145" s="2"/>
      <c r="O145" s="11"/>
    </row>
    <row r="146" spans="1:16" x14ac:dyDescent="0.25">
      <c r="B146" s="159"/>
      <c r="C146" s="160"/>
      <c r="D146" s="160"/>
      <c r="E146" s="160"/>
      <c r="F146" s="160"/>
      <c r="G146" s="160"/>
      <c r="H146" s="160"/>
      <c r="I146" s="160"/>
      <c r="J146" s="160"/>
      <c r="K146" s="160"/>
      <c r="L146" s="161"/>
      <c r="M146" s="2"/>
      <c r="O146" s="11"/>
    </row>
    <row r="147" spans="1:16" x14ac:dyDescent="0.25">
      <c r="B147" s="612" t="str">
        <f>IF(Intro!$G$21="English",O147,P147)</f>
        <v>2. Some of the information in your firm's response may be subject to “limited disclosure” to the party against whom it is making the allegation. This information is indicated by the letters “LD”. To facilitate and expedite any “limited disclosure,” your firm is invited to prepare, when it completes the questionnaire, a “limited disclosure” version of these allegations. This version is not to be included in your firm's reply to this questionnaire, but would be given, by you or your counsel, to a party requesting the “limited disclosure” after the party has filed an undertaking and acknowledgement form with the Tribunal.</v>
      </c>
      <c r="C147" s="613"/>
      <c r="D147" s="613"/>
      <c r="E147" s="613"/>
      <c r="F147" s="613"/>
      <c r="G147" s="613"/>
      <c r="H147" s="613"/>
      <c r="I147" s="613"/>
      <c r="J147" s="613"/>
      <c r="K147" s="613"/>
      <c r="L147" s="614"/>
      <c r="M147" s="2"/>
      <c r="O147" s="11" t="s">
        <v>262</v>
      </c>
      <c r="P147" s="2" t="s">
        <v>110</v>
      </c>
    </row>
    <row r="148" spans="1:16" x14ac:dyDescent="0.25">
      <c r="B148" s="612"/>
      <c r="C148" s="613"/>
      <c r="D148" s="613"/>
      <c r="E148" s="613"/>
      <c r="F148" s="613"/>
      <c r="G148" s="613"/>
      <c r="H148" s="613"/>
      <c r="I148" s="613"/>
      <c r="J148" s="613"/>
      <c r="K148" s="613"/>
      <c r="L148" s="614"/>
      <c r="M148" s="2"/>
      <c r="O148" s="11"/>
    </row>
    <row r="149" spans="1:16" x14ac:dyDescent="0.25">
      <c r="B149" s="612"/>
      <c r="C149" s="613"/>
      <c r="D149" s="613"/>
      <c r="E149" s="613"/>
      <c r="F149" s="613"/>
      <c r="G149" s="613"/>
      <c r="H149" s="613"/>
      <c r="I149" s="613"/>
      <c r="J149" s="613"/>
      <c r="K149" s="613"/>
      <c r="L149" s="614"/>
      <c r="M149" s="2"/>
      <c r="O149" s="11"/>
    </row>
    <row r="150" spans="1:16" x14ac:dyDescent="0.25">
      <c r="B150" s="612"/>
      <c r="C150" s="613"/>
      <c r="D150" s="613"/>
      <c r="E150" s="613"/>
      <c r="F150" s="613"/>
      <c r="G150" s="613"/>
      <c r="H150" s="613"/>
      <c r="I150" s="613"/>
      <c r="J150" s="613"/>
      <c r="K150" s="613"/>
      <c r="L150" s="614"/>
      <c r="M150" s="2"/>
      <c r="O150" s="11"/>
    </row>
    <row r="151" spans="1:16" x14ac:dyDescent="0.25">
      <c r="B151" s="159"/>
      <c r="C151" s="160"/>
      <c r="D151" s="26"/>
      <c r="E151" s="26"/>
      <c r="F151" s="26"/>
      <c r="G151" s="26"/>
      <c r="H151" s="26"/>
      <c r="I151" s="26"/>
      <c r="J151" s="26"/>
      <c r="K151" s="26"/>
      <c r="L151" s="27"/>
      <c r="M151" s="2"/>
      <c r="O151" s="11"/>
    </row>
    <row r="152" spans="1:16" x14ac:dyDescent="0.25">
      <c r="B152" s="219" t="str">
        <f>IF(Intro!$G$21="English",O152,P152)</f>
        <v>Allegation</v>
      </c>
      <c r="C152" s="993">
        <v>1</v>
      </c>
      <c r="D152" s="994"/>
      <c r="E152" s="993">
        <v>2</v>
      </c>
      <c r="F152" s="994"/>
      <c r="G152" s="993">
        <v>3</v>
      </c>
      <c r="H152" s="994"/>
      <c r="I152" s="993">
        <v>4</v>
      </c>
      <c r="J152" s="994"/>
      <c r="K152" s="993">
        <v>5</v>
      </c>
      <c r="L152" s="995"/>
      <c r="M152" s="2"/>
      <c r="O152" s="11" t="s">
        <v>261</v>
      </c>
      <c r="P152" s="2" t="s">
        <v>261</v>
      </c>
    </row>
    <row r="153" spans="1:16" s="3" customFormat="1" x14ac:dyDescent="0.25">
      <c r="A153" s="18"/>
      <c r="B153" s="996" t="str">
        <f>IF(Intro!$G$21="English",O153,P153)</f>
        <v>General Information</v>
      </c>
      <c r="C153" s="898"/>
      <c r="D153" s="997"/>
      <c r="E153" s="997"/>
      <c r="F153" s="997"/>
      <c r="G153" s="997"/>
      <c r="H153" s="997"/>
      <c r="I153" s="997"/>
      <c r="J153" s="997"/>
      <c r="K153" s="997"/>
      <c r="L153" s="998"/>
      <c r="O153" s="4" t="s">
        <v>263</v>
      </c>
      <c r="P153" s="3" t="s">
        <v>264</v>
      </c>
    </row>
    <row r="154" spans="1:16" x14ac:dyDescent="0.25">
      <c r="B154" s="622" t="str">
        <f>IF(Intro!$G$21="English",O154,P154)</f>
        <v>Name of Account (LD)</v>
      </c>
      <c r="C154" s="580"/>
      <c r="D154" s="985"/>
      <c r="E154" s="580"/>
      <c r="F154" s="985"/>
      <c r="G154" s="580"/>
      <c r="H154" s="985"/>
      <c r="I154" s="580"/>
      <c r="J154" s="985"/>
      <c r="K154" s="580"/>
      <c r="L154" s="582"/>
      <c r="M154" s="2"/>
      <c r="O154" s="2" t="s">
        <v>265</v>
      </c>
      <c r="P154" s="2" t="s">
        <v>266</v>
      </c>
    </row>
    <row r="155" spans="1:16" x14ac:dyDescent="0.25">
      <c r="B155" s="626"/>
      <c r="C155" s="583"/>
      <c r="D155" s="986"/>
      <c r="E155" s="583"/>
      <c r="F155" s="986"/>
      <c r="G155" s="583"/>
      <c r="H155" s="986"/>
      <c r="I155" s="583"/>
      <c r="J155" s="986"/>
      <c r="K155" s="583"/>
      <c r="L155" s="585"/>
      <c r="M155" s="2"/>
    </row>
    <row r="156" spans="1:16" x14ac:dyDescent="0.25">
      <c r="B156" s="622" t="str">
        <f>IF(Intro!$G$21="English",O156,P156)</f>
        <v>Address (LD)</v>
      </c>
      <c r="C156" s="580"/>
      <c r="D156" s="985"/>
      <c r="E156" s="580"/>
      <c r="F156" s="985"/>
      <c r="G156" s="580"/>
      <c r="H156" s="985"/>
      <c r="I156" s="580"/>
      <c r="J156" s="985"/>
      <c r="K156" s="580"/>
      <c r="L156" s="582"/>
      <c r="M156" s="2"/>
      <c r="O156" s="2" t="s">
        <v>267</v>
      </c>
      <c r="P156" s="2" t="s">
        <v>268</v>
      </c>
    </row>
    <row r="157" spans="1:16" x14ac:dyDescent="0.25">
      <c r="B157" s="626"/>
      <c r="C157" s="583"/>
      <c r="D157" s="986"/>
      <c r="E157" s="583"/>
      <c r="F157" s="986"/>
      <c r="G157" s="583"/>
      <c r="H157" s="986"/>
      <c r="I157" s="583"/>
      <c r="J157" s="986"/>
      <c r="K157" s="583"/>
      <c r="L157" s="585"/>
      <c r="M157" s="2"/>
    </row>
    <row r="158" spans="1:16" x14ac:dyDescent="0.25">
      <c r="B158" s="622" t="str">
        <f>IF(Intro!$G$21="English",O158,P158)</f>
        <v>Trade Level (LD)</v>
      </c>
      <c r="C158" s="580"/>
      <c r="D158" s="985"/>
      <c r="E158" s="580"/>
      <c r="F158" s="985"/>
      <c r="G158" s="580"/>
      <c r="H158" s="985"/>
      <c r="I158" s="580"/>
      <c r="J158" s="985"/>
      <c r="K158" s="580"/>
      <c r="L158" s="582"/>
      <c r="M158" s="2"/>
      <c r="O158" s="2" t="s">
        <v>269</v>
      </c>
      <c r="P158" s="2" t="s">
        <v>595</v>
      </c>
    </row>
    <row r="159" spans="1:16" x14ac:dyDescent="0.25">
      <c r="B159" s="626"/>
      <c r="C159" s="583"/>
      <c r="D159" s="986"/>
      <c r="E159" s="583"/>
      <c r="F159" s="986"/>
      <c r="G159" s="583"/>
      <c r="H159" s="986"/>
      <c r="I159" s="583"/>
      <c r="J159" s="986"/>
      <c r="K159" s="583"/>
      <c r="L159" s="585"/>
      <c r="M159" s="2"/>
    </row>
    <row r="160" spans="1:16" x14ac:dyDescent="0.25">
      <c r="B160" s="622" t="str">
        <f>IF(Intro!$G$21="English",O160,P160)</f>
        <v>Nature of Alleged Injury (P)</v>
      </c>
      <c r="C160" s="580"/>
      <c r="D160" s="985"/>
      <c r="E160" s="580"/>
      <c r="F160" s="985"/>
      <c r="G160" s="580"/>
      <c r="H160" s="985"/>
      <c r="I160" s="580"/>
      <c r="J160" s="985"/>
      <c r="K160" s="580"/>
      <c r="L160" s="582"/>
      <c r="M160" s="2"/>
      <c r="O160" s="2" t="s">
        <v>142</v>
      </c>
      <c r="P160" s="2" t="s">
        <v>143</v>
      </c>
    </row>
    <row r="161" spans="1:19" x14ac:dyDescent="0.25">
      <c r="B161" s="624"/>
      <c r="C161" s="987"/>
      <c r="D161" s="988"/>
      <c r="E161" s="987"/>
      <c r="F161" s="988"/>
      <c r="G161" s="987"/>
      <c r="H161" s="988"/>
      <c r="I161" s="987"/>
      <c r="J161" s="988"/>
      <c r="K161" s="987"/>
      <c r="L161" s="989"/>
      <c r="M161" s="2"/>
    </row>
    <row r="162" spans="1:19" x14ac:dyDescent="0.25">
      <c r="B162" s="626"/>
      <c r="C162" s="583"/>
      <c r="D162" s="986"/>
      <c r="E162" s="583"/>
      <c r="F162" s="986"/>
      <c r="G162" s="583"/>
      <c r="H162" s="986"/>
      <c r="I162" s="583"/>
      <c r="J162" s="986"/>
      <c r="K162" s="583"/>
      <c r="L162" s="585"/>
      <c r="M162" s="2"/>
    </row>
    <row r="163" spans="1:19" s="3" customFormat="1" x14ac:dyDescent="0.25">
      <c r="A163" s="12"/>
      <c r="B163" s="996" t="str">
        <f>IF(Intro!$G$21="English",O163,P163)</f>
        <v>Domestic Producer's Offer</v>
      </c>
      <c r="C163" s="898"/>
      <c r="D163" s="997"/>
      <c r="E163" s="997"/>
      <c r="F163" s="997"/>
      <c r="G163" s="997"/>
      <c r="H163" s="997"/>
      <c r="I163" s="997"/>
      <c r="J163" s="997"/>
      <c r="K163" s="997"/>
      <c r="L163" s="998"/>
      <c r="O163" s="4" t="s">
        <v>270</v>
      </c>
      <c r="P163" s="4" t="s">
        <v>271</v>
      </c>
      <c r="Q163" s="4"/>
      <c r="R163" s="4"/>
      <c r="S163" s="4"/>
    </row>
    <row r="164" spans="1:19" x14ac:dyDescent="0.25">
      <c r="B164" s="622" t="str">
        <f>IF(Intro!$G$21="English",O164,P164)</f>
        <v>Product Description (P)</v>
      </c>
      <c r="C164" s="580"/>
      <c r="D164" s="985"/>
      <c r="E164" s="580"/>
      <c r="F164" s="985"/>
      <c r="G164" s="580"/>
      <c r="H164" s="985"/>
      <c r="I164" s="580"/>
      <c r="J164" s="985"/>
      <c r="K164" s="580"/>
      <c r="L164" s="582"/>
      <c r="M164" s="2"/>
      <c r="O164" s="2" t="s">
        <v>144</v>
      </c>
      <c r="P164" s="2" t="s">
        <v>145</v>
      </c>
    </row>
    <row r="165" spans="1:19" x14ac:dyDescent="0.25">
      <c r="B165" s="624"/>
      <c r="C165" s="987"/>
      <c r="D165" s="988"/>
      <c r="E165" s="987"/>
      <c r="F165" s="988"/>
      <c r="G165" s="987"/>
      <c r="H165" s="988"/>
      <c r="I165" s="987"/>
      <c r="J165" s="988"/>
      <c r="K165" s="987"/>
      <c r="L165" s="989"/>
      <c r="M165" s="2"/>
    </row>
    <row r="166" spans="1:19" x14ac:dyDescent="0.25">
      <c r="B166" s="624"/>
      <c r="C166" s="987"/>
      <c r="D166" s="988"/>
      <c r="E166" s="987"/>
      <c r="F166" s="988"/>
      <c r="G166" s="987"/>
      <c r="H166" s="988"/>
      <c r="I166" s="987"/>
      <c r="J166" s="988"/>
      <c r="K166" s="987"/>
      <c r="L166" s="989"/>
      <c r="M166" s="2"/>
    </row>
    <row r="167" spans="1:19" x14ac:dyDescent="0.25">
      <c r="B167" s="626"/>
      <c r="C167" s="583"/>
      <c r="D167" s="986"/>
      <c r="E167" s="583"/>
      <c r="F167" s="986"/>
      <c r="G167" s="583"/>
      <c r="H167" s="986"/>
      <c r="I167" s="583"/>
      <c r="J167" s="986"/>
      <c r="K167" s="583"/>
      <c r="L167" s="585"/>
      <c r="M167" s="2"/>
    </row>
    <row r="168" spans="1:19" x14ac:dyDescent="0.25">
      <c r="B168" s="622" t="str">
        <f>IF(Intro!$G$21="English",O168,P168)</f>
        <v>Date of Transaction (P)</v>
      </c>
      <c r="C168" s="580"/>
      <c r="D168" s="985"/>
      <c r="E168" s="580"/>
      <c r="F168" s="985"/>
      <c r="G168" s="580"/>
      <c r="H168" s="985"/>
      <c r="I168" s="580"/>
      <c r="J168" s="985"/>
      <c r="K168" s="580"/>
      <c r="L168" s="582"/>
      <c r="M168" s="2"/>
      <c r="O168" s="2" t="s">
        <v>146</v>
      </c>
      <c r="P168" s="2" t="s">
        <v>147</v>
      </c>
    </row>
    <row r="169" spans="1:19" x14ac:dyDescent="0.25">
      <c r="B169" s="626"/>
      <c r="C169" s="583"/>
      <c r="D169" s="986"/>
      <c r="E169" s="583"/>
      <c r="F169" s="986"/>
      <c r="G169" s="583"/>
      <c r="H169" s="986"/>
      <c r="I169" s="583"/>
      <c r="J169" s="986"/>
      <c r="K169" s="583"/>
      <c r="L169" s="585"/>
      <c r="M169" s="2"/>
    </row>
    <row r="170" spans="1:19" x14ac:dyDescent="0.25">
      <c r="B170" s="622" t="str">
        <f>IF(Intro!$G$21="English",O170,P170)</f>
        <v>Volume Offered (MSF)</v>
      </c>
      <c r="C170" s="580"/>
      <c r="D170" s="985"/>
      <c r="E170" s="580"/>
      <c r="F170" s="985"/>
      <c r="G170" s="580"/>
      <c r="H170" s="985"/>
      <c r="I170" s="580"/>
      <c r="J170" s="985"/>
      <c r="K170" s="580"/>
      <c r="L170" s="582"/>
      <c r="M170" s="2"/>
      <c r="O170" s="2" t="str">
        <f>"Volume Offered ("&amp;Variables!B23&amp;")"</f>
        <v>Volume Offered (MSF)</v>
      </c>
      <c r="P170" s="2" t="str">
        <f>"Volume offert ("&amp;Variables!C23&amp;")"</f>
        <v>Volume offert (MPC)</v>
      </c>
    </row>
    <row r="171" spans="1:19" x14ac:dyDescent="0.25">
      <c r="B171" s="624"/>
      <c r="C171" s="987"/>
      <c r="D171" s="988"/>
      <c r="E171" s="987"/>
      <c r="F171" s="988"/>
      <c r="G171" s="987"/>
      <c r="H171" s="988"/>
      <c r="I171" s="987"/>
      <c r="J171" s="988"/>
      <c r="K171" s="987"/>
      <c r="L171" s="989"/>
      <c r="M171" s="2"/>
    </row>
    <row r="172" spans="1:19" x14ac:dyDescent="0.25">
      <c r="B172" s="626"/>
      <c r="C172" s="583"/>
      <c r="D172" s="986"/>
      <c r="E172" s="583"/>
      <c r="F172" s="986"/>
      <c r="G172" s="583"/>
      <c r="H172" s="986"/>
      <c r="I172" s="583"/>
      <c r="J172" s="986"/>
      <c r="K172" s="583"/>
      <c r="L172" s="585"/>
      <c r="M172" s="2"/>
    </row>
    <row r="173" spans="1:19" x14ac:dyDescent="0.25">
      <c r="B173" s="622" t="str">
        <f>IF(Intro!$G$21="English",O173,P173)</f>
        <v>Volume Sold (MSF)</v>
      </c>
      <c r="C173" s="580"/>
      <c r="D173" s="985"/>
      <c r="E173" s="580"/>
      <c r="F173" s="985"/>
      <c r="G173" s="580"/>
      <c r="H173" s="985"/>
      <c r="I173" s="580"/>
      <c r="J173" s="985"/>
      <c r="K173" s="580"/>
      <c r="L173" s="582"/>
      <c r="M173" s="2"/>
      <c r="O173" s="2" t="str">
        <f>"Volume Sold ("&amp;Variables!B23&amp;")"</f>
        <v>Volume Sold (MSF)</v>
      </c>
      <c r="P173" s="2" t="str">
        <f>"Volume vendu ("&amp;Variables!C23&amp;")"</f>
        <v>Volume vendu (MPC)</v>
      </c>
    </row>
    <row r="174" spans="1:19" x14ac:dyDescent="0.25">
      <c r="B174" s="626"/>
      <c r="C174" s="583"/>
      <c r="D174" s="986"/>
      <c r="E174" s="583"/>
      <c r="F174" s="986"/>
      <c r="G174" s="583"/>
      <c r="H174" s="986"/>
      <c r="I174" s="583"/>
      <c r="J174" s="986"/>
      <c r="K174" s="583"/>
      <c r="L174" s="585"/>
      <c r="M174" s="2"/>
    </row>
    <row r="175" spans="1:19" x14ac:dyDescent="0.25">
      <c r="B175" s="622" t="str">
        <f>IF(Intro!$G$21="English",O175,P175)</f>
        <v>Price Offered ($/MSF)</v>
      </c>
      <c r="C175" s="580"/>
      <c r="D175" s="985"/>
      <c r="E175" s="580"/>
      <c r="F175" s="985"/>
      <c r="G175" s="580"/>
      <c r="H175" s="985"/>
      <c r="I175" s="580"/>
      <c r="J175" s="985"/>
      <c r="K175" s="580"/>
      <c r="L175" s="582"/>
      <c r="M175" s="2"/>
      <c r="O175" s="2" t="str">
        <f>"Price Offered ($/"&amp;Variables!B24&amp;")"</f>
        <v>Price Offered ($/MSF)</v>
      </c>
      <c r="P175" s="2" t="str">
        <f>"Prix offert ($/"&amp;Variables!C24&amp;")"</f>
        <v>Prix offert ($/MPC)</v>
      </c>
    </row>
    <row r="176" spans="1:19" x14ac:dyDescent="0.25">
      <c r="B176" s="990"/>
      <c r="C176" s="583"/>
      <c r="D176" s="986"/>
      <c r="E176" s="583"/>
      <c r="F176" s="986"/>
      <c r="G176" s="583"/>
      <c r="H176" s="986"/>
      <c r="I176" s="583"/>
      <c r="J176" s="986"/>
      <c r="K176" s="583"/>
      <c r="L176" s="585"/>
      <c r="M176" s="2"/>
    </row>
    <row r="177" spans="1:16" x14ac:dyDescent="0.25">
      <c r="B177" s="622" t="str">
        <f>IF(Intro!$G$21="English",O177,P177)</f>
        <v>Transaction Price ($/MSF)</v>
      </c>
      <c r="C177" s="580"/>
      <c r="D177" s="985"/>
      <c r="E177" s="580"/>
      <c r="F177" s="985"/>
      <c r="G177" s="580"/>
      <c r="H177" s="985"/>
      <c r="I177" s="580"/>
      <c r="J177" s="985"/>
      <c r="K177" s="580"/>
      <c r="L177" s="582"/>
      <c r="M177" s="2"/>
      <c r="O177" s="2" t="str">
        <f>"Transaction Price ($/"&amp;Variables!B24&amp;")"</f>
        <v>Transaction Price ($/MSF)</v>
      </c>
      <c r="P177" s="2" t="str">
        <f>"Prix de la transaction ($/"&amp;Variables!C24&amp;")"</f>
        <v>Prix de la transaction ($/MPC)</v>
      </c>
    </row>
    <row r="178" spans="1:16" ht="36" customHeight="1" x14ac:dyDescent="0.25">
      <c r="B178" s="626"/>
      <c r="C178" s="583"/>
      <c r="D178" s="986"/>
      <c r="E178" s="583"/>
      <c r="F178" s="986"/>
      <c r="G178" s="583"/>
      <c r="H178" s="986"/>
      <c r="I178" s="583"/>
      <c r="J178" s="986"/>
      <c r="K178" s="583"/>
      <c r="L178" s="585"/>
      <c r="M178" s="2"/>
    </row>
    <row r="179" spans="1:16" s="3" customFormat="1" x14ac:dyDescent="0.25">
      <c r="A179" s="12"/>
      <c r="B179" s="996" t="str">
        <f>IF(Intro!$G$21="English",O179,P179)</f>
        <v>Competitor's Offer</v>
      </c>
      <c r="C179" s="898"/>
      <c r="D179" s="997"/>
      <c r="E179" s="997"/>
      <c r="F179" s="997"/>
      <c r="G179" s="997"/>
      <c r="H179" s="997"/>
      <c r="I179" s="997"/>
      <c r="J179" s="997"/>
      <c r="K179" s="997"/>
      <c r="L179" s="998"/>
      <c r="O179" s="4" t="s">
        <v>141</v>
      </c>
      <c r="P179" s="3" t="s">
        <v>272</v>
      </c>
    </row>
    <row r="180" spans="1:16" x14ac:dyDescent="0.25">
      <c r="B180" s="622" t="str">
        <f>IF(Intro!$G$21="English",O180,P180)</f>
        <v>Name of Competitor (LD)</v>
      </c>
      <c r="C180" s="580"/>
      <c r="D180" s="985"/>
      <c r="E180" s="580"/>
      <c r="F180" s="985"/>
      <c r="G180" s="580"/>
      <c r="H180" s="985"/>
      <c r="I180" s="580"/>
      <c r="J180" s="985"/>
      <c r="K180" s="580"/>
      <c r="L180" s="582"/>
      <c r="M180" s="2"/>
      <c r="O180" s="2" t="s">
        <v>273</v>
      </c>
      <c r="P180" s="2" t="s">
        <v>274</v>
      </c>
    </row>
    <row r="181" spans="1:16" x14ac:dyDescent="0.25">
      <c r="B181" s="626"/>
      <c r="C181" s="583"/>
      <c r="D181" s="986"/>
      <c r="E181" s="583"/>
      <c r="F181" s="986"/>
      <c r="G181" s="583"/>
      <c r="H181" s="986"/>
      <c r="I181" s="583"/>
      <c r="J181" s="986"/>
      <c r="K181" s="583"/>
      <c r="L181" s="585"/>
      <c r="M181" s="2"/>
    </row>
    <row r="182" spans="1:16" x14ac:dyDescent="0.25">
      <c r="B182" s="622" t="str">
        <f>IF(Intro!$G$21="English",O182,P182)</f>
        <v>Product Description (P)</v>
      </c>
      <c r="C182" s="580"/>
      <c r="D182" s="985"/>
      <c r="E182" s="580"/>
      <c r="F182" s="985"/>
      <c r="G182" s="580"/>
      <c r="H182" s="985"/>
      <c r="I182" s="580"/>
      <c r="J182" s="985"/>
      <c r="K182" s="580"/>
      <c r="L182" s="582"/>
      <c r="M182" s="2"/>
      <c r="O182" s="2" t="s">
        <v>144</v>
      </c>
      <c r="P182" s="2" t="s">
        <v>145</v>
      </c>
    </row>
    <row r="183" spans="1:16" x14ac:dyDescent="0.25">
      <c r="B183" s="624"/>
      <c r="C183" s="987"/>
      <c r="D183" s="988"/>
      <c r="E183" s="987"/>
      <c r="F183" s="988"/>
      <c r="G183" s="987"/>
      <c r="H183" s="988"/>
      <c r="I183" s="987"/>
      <c r="J183" s="988"/>
      <c r="K183" s="987"/>
      <c r="L183" s="989"/>
      <c r="M183" s="2"/>
    </row>
    <row r="184" spans="1:16" x14ac:dyDescent="0.25">
      <c r="B184" s="624"/>
      <c r="C184" s="987"/>
      <c r="D184" s="988"/>
      <c r="E184" s="987"/>
      <c r="F184" s="988"/>
      <c r="G184" s="987"/>
      <c r="H184" s="988"/>
      <c r="I184" s="987"/>
      <c r="J184" s="988"/>
      <c r="K184" s="987"/>
      <c r="L184" s="989"/>
      <c r="M184" s="2"/>
    </row>
    <row r="185" spans="1:16" x14ac:dyDescent="0.25">
      <c r="B185" s="626"/>
      <c r="C185" s="583"/>
      <c r="D185" s="986"/>
      <c r="E185" s="583"/>
      <c r="F185" s="986"/>
      <c r="G185" s="583"/>
      <c r="H185" s="986"/>
      <c r="I185" s="583"/>
      <c r="J185" s="986"/>
      <c r="K185" s="583"/>
      <c r="L185" s="585"/>
      <c r="M185" s="2"/>
    </row>
    <row r="186" spans="1:16" x14ac:dyDescent="0.25">
      <c r="B186" s="622" t="str">
        <f>IF(Intro!$G$21="English",O186,P186)</f>
        <v>Country of Origin (P)</v>
      </c>
      <c r="C186" s="580"/>
      <c r="D186" s="985"/>
      <c r="E186" s="580"/>
      <c r="F186" s="985"/>
      <c r="G186" s="580"/>
      <c r="H186" s="985"/>
      <c r="I186" s="580"/>
      <c r="J186" s="985"/>
      <c r="K186" s="580"/>
      <c r="L186" s="582"/>
      <c r="M186" s="2"/>
      <c r="O186" s="2" t="s">
        <v>148</v>
      </c>
      <c r="P186" s="2" t="s">
        <v>149</v>
      </c>
    </row>
    <row r="187" spans="1:16" x14ac:dyDescent="0.25">
      <c r="B187" s="626"/>
      <c r="C187" s="583"/>
      <c r="D187" s="986"/>
      <c r="E187" s="583"/>
      <c r="F187" s="986"/>
      <c r="G187" s="583"/>
      <c r="H187" s="986"/>
      <c r="I187" s="583"/>
      <c r="J187" s="986"/>
      <c r="K187" s="583"/>
      <c r="L187" s="585"/>
      <c r="M187" s="2"/>
    </row>
    <row r="188" spans="1:16" x14ac:dyDescent="0.25">
      <c r="B188" s="622" t="str">
        <f>IF(Intro!$G$21="English",O188,P188)</f>
        <v>Volume Offered (MSF) (LD)</v>
      </c>
      <c r="C188" s="580"/>
      <c r="D188" s="985"/>
      <c r="E188" s="580"/>
      <c r="F188" s="985"/>
      <c r="G188" s="580"/>
      <c r="H188" s="985"/>
      <c r="I188" s="580"/>
      <c r="J188" s="985"/>
      <c r="K188" s="580"/>
      <c r="L188" s="582"/>
      <c r="M188" s="2"/>
      <c r="O188" s="2" t="str">
        <f>"Volume Offered ("&amp;Variables!B23&amp;") (LD)"</f>
        <v>Volume Offered (MSF) (LD)</v>
      </c>
      <c r="P188" s="2" t="str">
        <f>"Volume offert ("&amp;Variables!C23&amp;") (LD)"</f>
        <v>Volume offert (MPC) (LD)</v>
      </c>
    </row>
    <row r="189" spans="1:16" x14ac:dyDescent="0.25">
      <c r="B189" s="626"/>
      <c r="C189" s="583"/>
      <c r="D189" s="986"/>
      <c r="E189" s="583"/>
      <c r="F189" s="986"/>
      <c r="G189" s="583"/>
      <c r="H189" s="986"/>
      <c r="I189" s="583"/>
      <c r="J189" s="986"/>
      <c r="K189" s="583"/>
      <c r="L189" s="585"/>
      <c r="M189" s="2"/>
    </row>
    <row r="190" spans="1:16" x14ac:dyDescent="0.25">
      <c r="B190" s="622" t="str">
        <f>IF(Intro!$G$21="English",O190,P190)</f>
        <v>Volume Sold (MSF) (LD)</v>
      </c>
      <c r="C190" s="580"/>
      <c r="D190" s="985"/>
      <c r="E190" s="580"/>
      <c r="F190" s="985"/>
      <c r="G190" s="580"/>
      <c r="H190" s="985"/>
      <c r="I190" s="580"/>
      <c r="J190" s="985"/>
      <c r="K190" s="580"/>
      <c r="L190" s="582"/>
      <c r="M190" s="2"/>
      <c r="O190" s="2" t="str">
        <f>"Volume Sold ("&amp;Variables!B23&amp;") (LD)"</f>
        <v>Volume Sold (MSF) (LD)</v>
      </c>
      <c r="P190" s="2" t="str">
        <f>"Volume vendu ("&amp;Variables!C23&amp;") (LD)"</f>
        <v>Volume vendu (MPC) (LD)</v>
      </c>
    </row>
    <row r="191" spans="1:16" x14ac:dyDescent="0.25">
      <c r="B191" s="626"/>
      <c r="C191" s="583"/>
      <c r="D191" s="986"/>
      <c r="E191" s="583"/>
      <c r="F191" s="986"/>
      <c r="G191" s="583"/>
      <c r="H191" s="986"/>
      <c r="I191" s="583"/>
      <c r="J191" s="986"/>
      <c r="K191" s="583"/>
      <c r="L191" s="585"/>
      <c r="M191" s="2"/>
    </row>
    <row r="192" spans="1:16" x14ac:dyDescent="0.25">
      <c r="B192" s="622" t="str">
        <f>IF(Intro!$G$21="English",O192,P192)</f>
        <v>Price Offered ($/MSF) (LD)</v>
      </c>
      <c r="C192" s="580"/>
      <c r="D192" s="985"/>
      <c r="E192" s="580"/>
      <c r="F192" s="985"/>
      <c r="G192" s="580"/>
      <c r="H192" s="985"/>
      <c r="I192" s="580"/>
      <c r="J192" s="985"/>
      <c r="K192" s="580"/>
      <c r="L192" s="582"/>
      <c r="M192" s="2"/>
      <c r="O192" s="2" t="str">
        <f>"Price Offered ($/"&amp;Variables!B24&amp;") (LD)"</f>
        <v>Price Offered ($/MSF) (LD)</v>
      </c>
      <c r="P192" s="2" t="str">
        <f>"Prix offert ($/"&amp;Variables!C24&amp;") (LD)"</f>
        <v>Prix offert ($/MPC) (LD)</v>
      </c>
    </row>
    <row r="193" spans="1:19" x14ac:dyDescent="0.25">
      <c r="B193" s="626"/>
      <c r="C193" s="583"/>
      <c r="D193" s="986"/>
      <c r="E193" s="583"/>
      <c r="F193" s="986"/>
      <c r="G193" s="583"/>
      <c r="H193" s="986"/>
      <c r="I193" s="583"/>
      <c r="J193" s="986"/>
      <c r="K193" s="583"/>
      <c r="L193" s="585"/>
      <c r="M193" s="2"/>
    </row>
    <row r="194" spans="1:19" x14ac:dyDescent="0.25">
      <c r="B194" s="622" t="str">
        <f>IF(Intro!$G$21="English",O194,P194)</f>
        <v>Transaction Price ($/MSF) (LD)</v>
      </c>
      <c r="C194" s="580"/>
      <c r="D194" s="985"/>
      <c r="E194" s="580"/>
      <c r="F194" s="985"/>
      <c r="G194" s="580"/>
      <c r="H194" s="985"/>
      <c r="I194" s="580"/>
      <c r="J194" s="985"/>
      <c r="K194" s="580"/>
      <c r="L194" s="582"/>
      <c r="M194" s="2"/>
      <c r="O194" s="2" t="str">
        <f>"Transaction Price ($/"&amp;Variables!B24&amp;") (LD)"</f>
        <v>Transaction Price ($/MSF) (LD)</v>
      </c>
      <c r="P194" s="2" t="str">
        <f>"Prix de la transaction ($/"&amp;Variables!C24&amp;") (LD)"</f>
        <v>Prix de la transaction ($/MPC) (LD)</v>
      </c>
    </row>
    <row r="195" spans="1:19" ht="35.25" customHeight="1" x14ac:dyDescent="0.25">
      <c r="B195" s="626"/>
      <c r="C195" s="583"/>
      <c r="D195" s="986"/>
      <c r="E195" s="583"/>
      <c r="F195" s="986"/>
      <c r="G195" s="583"/>
      <c r="H195" s="986"/>
      <c r="I195" s="583"/>
      <c r="J195" s="986"/>
      <c r="K195" s="583"/>
      <c r="L195" s="585"/>
      <c r="M195" s="2"/>
    </row>
    <row r="196" spans="1:19" x14ac:dyDescent="0.25">
      <c r="B196" s="159"/>
      <c r="C196" s="160"/>
      <c r="D196" s="26"/>
      <c r="E196" s="26"/>
      <c r="F196" s="26"/>
      <c r="G196" s="26"/>
      <c r="H196" s="26"/>
      <c r="I196" s="26"/>
      <c r="J196" s="26"/>
      <c r="K196" s="26"/>
      <c r="L196" s="27"/>
      <c r="M196" s="2"/>
      <c r="O196" s="11"/>
    </row>
    <row r="197" spans="1:19" x14ac:dyDescent="0.25">
      <c r="B197" s="219" t="str">
        <f>B152</f>
        <v>Allegation</v>
      </c>
      <c r="C197" s="991">
        <v>6</v>
      </c>
      <c r="D197" s="992"/>
      <c r="E197" s="993">
        <v>7</v>
      </c>
      <c r="F197" s="994"/>
      <c r="G197" s="993">
        <v>8</v>
      </c>
      <c r="H197" s="994"/>
      <c r="I197" s="993">
        <v>9</v>
      </c>
      <c r="J197" s="994"/>
      <c r="K197" s="993">
        <v>10</v>
      </c>
      <c r="L197" s="995"/>
      <c r="M197" s="2"/>
      <c r="O197" s="11"/>
    </row>
    <row r="198" spans="1:19" s="3" customFormat="1" x14ac:dyDescent="0.25">
      <c r="A198" s="18"/>
      <c r="B198" s="996" t="str">
        <f>B153</f>
        <v>General Information</v>
      </c>
      <c r="C198" s="898"/>
      <c r="D198" s="997"/>
      <c r="E198" s="997"/>
      <c r="F198" s="997"/>
      <c r="G198" s="997"/>
      <c r="H198" s="997"/>
      <c r="I198" s="997"/>
      <c r="J198" s="997"/>
      <c r="K198" s="997"/>
      <c r="L198" s="998"/>
      <c r="O198" s="4"/>
    </row>
    <row r="199" spans="1:19" x14ac:dyDescent="0.25">
      <c r="B199" s="622" t="str">
        <f>B154</f>
        <v>Name of Account (LD)</v>
      </c>
      <c r="C199" s="580"/>
      <c r="D199" s="985"/>
      <c r="E199" s="580"/>
      <c r="F199" s="985"/>
      <c r="G199" s="580"/>
      <c r="H199" s="985"/>
      <c r="I199" s="580"/>
      <c r="J199" s="985"/>
      <c r="K199" s="580"/>
      <c r="L199" s="582"/>
      <c r="M199" s="2"/>
    </row>
    <row r="200" spans="1:19" x14ac:dyDescent="0.25">
      <c r="B200" s="626"/>
      <c r="C200" s="583"/>
      <c r="D200" s="986"/>
      <c r="E200" s="583"/>
      <c r="F200" s="986"/>
      <c r="G200" s="583"/>
      <c r="H200" s="986"/>
      <c r="I200" s="583"/>
      <c r="J200" s="986"/>
      <c r="K200" s="583"/>
      <c r="L200" s="585"/>
      <c r="M200" s="2"/>
    </row>
    <row r="201" spans="1:19" x14ac:dyDescent="0.25">
      <c r="B201" s="622" t="str">
        <f t="shared" ref="B201" si="0">B156</f>
        <v>Address (LD)</v>
      </c>
      <c r="C201" s="580"/>
      <c r="D201" s="985"/>
      <c r="E201" s="580"/>
      <c r="F201" s="985"/>
      <c r="G201" s="580"/>
      <c r="H201" s="985"/>
      <c r="I201" s="580"/>
      <c r="J201" s="985"/>
      <c r="K201" s="580"/>
      <c r="L201" s="582"/>
      <c r="M201" s="2"/>
    </row>
    <row r="202" spans="1:19" x14ac:dyDescent="0.25">
      <c r="B202" s="626"/>
      <c r="C202" s="583"/>
      <c r="D202" s="986"/>
      <c r="E202" s="583"/>
      <c r="F202" s="986"/>
      <c r="G202" s="583"/>
      <c r="H202" s="986"/>
      <c r="I202" s="583"/>
      <c r="J202" s="986"/>
      <c r="K202" s="583"/>
      <c r="L202" s="585"/>
      <c r="M202" s="2"/>
    </row>
    <row r="203" spans="1:19" x14ac:dyDescent="0.25">
      <c r="B203" s="622" t="str">
        <f t="shared" ref="B203" si="1">B158</f>
        <v>Trade Level (LD)</v>
      </c>
      <c r="C203" s="580"/>
      <c r="D203" s="985"/>
      <c r="E203" s="580"/>
      <c r="F203" s="985"/>
      <c r="G203" s="580"/>
      <c r="H203" s="985"/>
      <c r="I203" s="580"/>
      <c r="J203" s="985"/>
      <c r="K203" s="580"/>
      <c r="L203" s="582"/>
      <c r="M203" s="2"/>
    </row>
    <row r="204" spans="1:19" x14ac:dyDescent="0.25">
      <c r="B204" s="626"/>
      <c r="C204" s="583"/>
      <c r="D204" s="986"/>
      <c r="E204" s="583"/>
      <c r="F204" s="986"/>
      <c r="G204" s="583"/>
      <c r="H204" s="986"/>
      <c r="I204" s="583"/>
      <c r="J204" s="986"/>
      <c r="K204" s="583"/>
      <c r="L204" s="585"/>
      <c r="M204" s="2"/>
    </row>
    <row r="205" spans="1:19" x14ac:dyDescent="0.25">
      <c r="B205" s="622" t="str">
        <f>B160</f>
        <v>Nature of Alleged Injury (P)</v>
      </c>
      <c r="C205" s="580"/>
      <c r="D205" s="985"/>
      <c r="E205" s="580"/>
      <c r="F205" s="985"/>
      <c r="G205" s="580"/>
      <c r="H205" s="985"/>
      <c r="I205" s="580"/>
      <c r="J205" s="985"/>
      <c r="K205" s="580"/>
      <c r="L205" s="582"/>
      <c r="M205" s="2"/>
    </row>
    <row r="206" spans="1:19" x14ac:dyDescent="0.25">
      <c r="B206" s="624"/>
      <c r="C206" s="987"/>
      <c r="D206" s="988"/>
      <c r="E206" s="987"/>
      <c r="F206" s="988"/>
      <c r="G206" s="987"/>
      <c r="H206" s="988"/>
      <c r="I206" s="987"/>
      <c r="J206" s="988"/>
      <c r="K206" s="987"/>
      <c r="L206" s="989"/>
      <c r="M206" s="2"/>
    </row>
    <row r="207" spans="1:19" x14ac:dyDescent="0.25">
      <c r="B207" s="626"/>
      <c r="C207" s="583"/>
      <c r="D207" s="986"/>
      <c r="E207" s="583"/>
      <c r="F207" s="986"/>
      <c r="G207" s="583"/>
      <c r="H207" s="986"/>
      <c r="I207" s="583"/>
      <c r="J207" s="986"/>
      <c r="K207" s="583"/>
      <c r="L207" s="585"/>
      <c r="M207" s="2"/>
    </row>
    <row r="208" spans="1:19" s="3" customFormat="1" x14ac:dyDescent="0.25">
      <c r="A208" s="12"/>
      <c r="B208" s="996" t="str">
        <f>B163</f>
        <v>Domestic Producer's Offer</v>
      </c>
      <c r="C208" s="898"/>
      <c r="D208" s="997"/>
      <c r="E208" s="997"/>
      <c r="F208" s="997"/>
      <c r="G208" s="997"/>
      <c r="H208" s="997"/>
      <c r="I208" s="997"/>
      <c r="J208" s="997"/>
      <c r="K208" s="997"/>
      <c r="L208" s="998"/>
      <c r="O208" s="4"/>
      <c r="P208" s="4"/>
      <c r="Q208" s="4"/>
      <c r="R208" s="4"/>
      <c r="S208" s="4"/>
    </row>
    <row r="209" spans="1:15" x14ac:dyDescent="0.25">
      <c r="B209" s="622" t="str">
        <f>B164</f>
        <v>Product Description (P)</v>
      </c>
      <c r="C209" s="580"/>
      <c r="D209" s="985"/>
      <c r="E209" s="580"/>
      <c r="F209" s="985"/>
      <c r="G209" s="580"/>
      <c r="H209" s="985"/>
      <c r="I209" s="580"/>
      <c r="J209" s="985"/>
      <c r="K209" s="580"/>
      <c r="L209" s="582"/>
      <c r="M209" s="2"/>
    </row>
    <row r="210" spans="1:15" x14ac:dyDescent="0.25">
      <c r="B210" s="624"/>
      <c r="C210" s="987"/>
      <c r="D210" s="988"/>
      <c r="E210" s="987"/>
      <c r="F210" s="988"/>
      <c r="G210" s="987"/>
      <c r="H210" s="988"/>
      <c r="I210" s="987"/>
      <c r="J210" s="988"/>
      <c r="K210" s="987"/>
      <c r="L210" s="989"/>
      <c r="M210" s="2"/>
    </row>
    <row r="211" spans="1:15" x14ac:dyDescent="0.25">
      <c r="B211" s="624"/>
      <c r="C211" s="987"/>
      <c r="D211" s="988"/>
      <c r="E211" s="987"/>
      <c r="F211" s="988"/>
      <c r="G211" s="987"/>
      <c r="H211" s="988"/>
      <c r="I211" s="987"/>
      <c r="J211" s="988"/>
      <c r="K211" s="987"/>
      <c r="L211" s="989"/>
      <c r="M211" s="2"/>
    </row>
    <row r="212" spans="1:15" x14ac:dyDescent="0.25">
      <c r="B212" s="626"/>
      <c r="C212" s="583"/>
      <c r="D212" s="986"/>
      <c r="E212" s="583"/>
      <c r="F212" s="986"/>
      <c r="G212" s="583"/>
      <c r="H212" s="986"/>
      <c r="I212" s="583"/>
      <c r="J212" s="986"/>
      <c r="K212" s="583"/>
      <c r="L212" s="585"/>
      <c r="M212" s="2"/>
    </row>
    <row r="213" spans="1:15" x14ac:dyDescent="0.25">
      <c r="B213" s="622" t="str">
        <f>B168</f>
        <v>Date of Transaction (P)</v>
      </c>
      <c r="C213" s="580"/>
      <c r="D213" s="985"/>
      <c r="E213" s="580"/>
      <c r="F213" s="985"/>
      <c r="G213" s="580"/>
      <c r="H213" s="985"/>
      <c r="I213" s="580"/>
      <c r="J213" s="985"/>
      <c r="K213" s="580"/>
      <c r="L213" s="582"/>
      <c r="M213" s="2"/>
    </row>
    <row r="214" spans="1:15" x14ac:dyDescent="0.25">
      <c r="B214" s="626"/>
      <c r="C214" s="583"/>
      <c r="D214" s="986"/>
      <c r="E214" s="583"/>
      <c r="F214" s="986"/>
      <c r="G214" s="583"/>
      <c r="H214" s="986"/>
      <c r="I214" s="583"/>
      <c r="J214" s="986"/>
      <c r="K214" s="583"/>
      <c r="L214" s="585"/>
      <c r="M214" s="2"/>
    </row>
    <row r="215" spans="1:15" x14ac:dyDescent="0.25">
      <c r="B215" s="622" t="str">
        <f>B170</f>
        <v>Volume Offered (MSF)</v>
      </c>
      <c r="C215" s="580"/>
      <c r="D215" s="985"/>
      <c r="E215" s="580"/>
      <c r="F215" s="985"/>
      <c r="G215" s="580"/>
      <c r="H215" s="985"/>
      <c r="I215" s="580"/>
      <c r="J215" s="985"/>
      <c r="K215" s="580"/>
      <c r="L215" s="582"/>
      <c r="M215" s="2"/>
    </row>
    <row r="216" spans="1:15" x14ac:dyDescent="0.25">
      <c r="B216" s="624"/>
      <c r="C216" s="987"/>
      <c r="D216" s="988"/>
      <c r="E216" s="987"/>
      <c r="F216" s="988"/>
      <c r="G216" s="987"/>
      <c r="H216" s="988"/>
      <c r="I216" s="987"/>
      <c r="J216" s="988"/>
      <c r="K216" s="987"/>
      <c r="L216" s="989"/>
      <c r="M216" s="2"/>
    </row>
    <row r="217" spans="1:15" x14ac:dyDescent="0.25">
      <c r="B217" s="626"/>
      <c r="C217" s="583"/>
      <c r="D217" s="986"/>
      <c r="E217" s="583"/>
      <c r="F217" s="986"/>
      <c r="G217" s="583"/>
      <c r="H217" s="986"/>
      <c r="I217" s="583"/>
      <c r="J217" s="986"/>
      <c r="K217" s="583"/>
      <c r="L217" s="585"/>
      <c r="M217" s="2"/>
    </row>
    <row r="218" spans="1:15" x14ac:dyDescent="0.25">
      <c r="B218" s="622" t="str">
        <f>B173</f>
        <v>Volume Sold (MSF)</v>
      </c>
      <c r="C218" s="580"/>
      <c r="D218" s="985"/>
      <c r="E218" s="580"/>
      <c r="F218" s="985"/>
      <c r="G218" s="580"/>
      <c r="H218" s="985"/>
      <c r="I218" s="580"/>
      <c r="J218" s="985"/>
      <c r="K218" s="580"/>
      <c r="L218" s="582"/>
      <c r="M218" s="2"/>
    </row>
    <row r="219" spans="1:15" x14ac:dyDescent="0.25">
      <c r="B219" s="626"/>
      <c r="C219" s="583"/>
      <c r="D219" s="986"/>
      <c r="E219" s="583"/>
      <c r="F219" s="986"/>
      <c r="G219" s="583"/>
      <c r="H219" s="986"/>
      <c r="I219" s="583"/>
      <c r="J219" s="986"/>
      <c r="K219" s="583"/>
      <c r="L219" s="585"/>
      <c r="M219" s="2"/>
    </row>
    <row r="220" spans="1:15" x14ac:dyDescent="0.25">
      <c r="B220" s="622" t="str">
        <f t="shared" ref="B220" si="2">B175</f>
        <v>Price Offered ($/MSF)</v>
      </c>
      <c r="C220" s="580"/>
      <c r="D220" s="985"/>
      <c r="E220" s="580"/>
      <c r="F220" s="985"/>
      <c r="G220" s="580"/>
      <c r="H220" s="985"/>
      <c r="I220" s="580"/>
      <c r="J220" s="985"/>
      <c r="K220" s="580"/>
      <c r="L220" s="582"/>
      <c r="M220" s="2"/>
    </row>
    <row r="221" spans="1:15" x14ac:dyDescent="0.25">
      <c r="B221" s="626"/>
      <c r="C221" s="583"/>
      <c r="D221" s="986"/>
      <c r="E221" s="583"/>
      <c r="F221" s="986"/>
      <c r="G221" s="583"/>
      <c r="H221" s="986"/>
      <c r="I221" s="583"/>
      <c r="J221" s="986"/>
      <c r="K221" s="583"/>
      <c r="L221" s="585"/>
      <c r="M221" s="2"/>
    </row>
    <row r="222" spans="1:15" x14ac:dyDescent="0.25">
      <c r="B222" s="622" t="str">
        <f>B177</f>
        <v>Transaction Price ($/MSF)</v>
      </c>
      <c r="C222" s="580"/>
      <c r="D222" s="985"/>
      <c r="E222" s="580"/>
      <c r="F222" s="985"/>
      <c r="G222" s="580"/>
      <c r="H222" s="985"/>
      <c r="I222" s="580"/>
      <c r="J222" s="985"/>
      <c r="K222" s="580"/>
      <c r="L222" s="582"/>
      <c r="M222" s="2"/>
    </row>
    <row r="223" spans="1:15" ht="36" customHeight="1" x14ac:dyDescent="0.25">
      <c r="B223" s="626"/>
      <c r="C223" s="583"/>
      <c r="D223" s="986"/>
      <c r="E223" s="583"/>
      <c r="F223" s="986"/>
      <c r="G223" s="583"/>
      <c r="H223" s="986"/>
      <c r="I223" s="583"/>
      <c r="J223" s="986"/>
      <c r="K223" s="583"/>
      <c r="L223" s="585"/>
      <c r="M223" s="2"/>
    </row>
    <row r="224" spans="1:15" s="3" customFormat="1" x14ac:dyDescent="0.25">
      <c r="A224" s="12"/>
      <c r="B224" s="996" t="str">
        <f>B179</f>
        <v>Competitor's Offer</v>
      </c>
      <c r="C224" s="898"/>
      <c r="D224" s="997"/>
      <c r="E224" s="997"/>
      <c r="F224" s="997"/>
      <c r="G224" s="997"/>
      <c r="H224" s="997"/>
      <c r="I224" s="997"/>
      <c r="J224" s="997"/>
      <c r="K224" s="997"/>
      <c r="L224" s="998"/>
      <c r="O224" s="4"/>
    </row>
    <row r="225" spans="1:12" s="2" customFormat="1" x14ac:dyDescent="0.25">
      <c r="A225" s="12"/>
      <c r="B225" s="622" t="str">
        <f>B180</f>
        <v>Name of Competitor (LD)</v>
      </c>
      <c r="C225" s="580"/>
      <c r="D225" s="985"/>
      <c r="E225" s="580"/>
      <c r="F225" s="985"/>
      <c r="G225" s="580"/>
      <c r="H225" s="985"/>
      <c r="I225" s="580"/>
      <c r="J225" s="985"/>
      <c r="K225" s="580"/>
      <c r="L225" s="582"/>
    </row>
    <row r="226" spans="1:12" s="2" customFormat="1" x14ac:dyDescent="0.25">
      <c r="A226" s="12"/>
      <c r="B226" s="626"/>
      <c r="C226" s="583"/>
      <c r="D226" s="986"/>
      <c r="E226" s="583"/>
      <c r="F226" s="986"/>
      <c r="G226" s="583"/>
      <c r="H226" s="986"/>
      <c r="I226" s="583"/>
      <c r="J226" s="986"/>
      <c r="K226" s="583"/>
      <c r="L226" s="585"/>
    </row>
    <row r="227" spans="1:12" s="2" customFormat="1" x14ac:dyDescent="0.25">
      <c r="A227" s="12"/>
      <c r="B227" s="622" t="str">
        <f>B182</f>
        <v>Product Description (P)</v>
      </c>
      <c r="C227" s="580"/>
      <c r="D227" s="985"/>
      <c r="E227" s="580"/>
      <c r="F227" s="985"/>
      <c r="G227" s="580"/>
      <c r="H227" s="985"/>
      <c r="I227" s="580"/>
      <c r="J227" s="985"/>
      <c r="K227" s="580"/>
      <c r="L227" s="582"/>
    </row>
    <row r="228" spans="1:12" s="2" customFormat="1" x14ac:dyDescent="0.25">
      <c r="A228" s="12"/>
      <c r="B228" s="624"/>
      <c r="C228" s="987"/>
      <c r="D228" s="988"/>
      <c r="E228" s="987"/>
      <c r="F228" s="988"/>
      <c r="G228" s="987"/>
      <c r="H228" s="988"/>
      <c r="I228" s="987"/>
      <c r="J228" s="988"/>
      <c r="K228" s="987"/>
      <c r="L228" s="989"/>
    </row>
    <row r="229" spans="1:12" s="2" customFormat="1" x14ac:dyDescent="0.25">
      <c r="A229" s="12"/>
      <c r="B229" s="624"/>
      <c r="C229" s="987"/>
      <c r="D229" s="988"/>
      <c r="E229" s="987"/>
      <c r="F229" s="988"/>
      <c r="G229" s="987"/>
      <c r="H229" s="988"/>
      <c r="I229" s="987"/>
      <c r="J229" s="988"/>
      <c r="K229" s="987"/>
      <c r="L229" s="989"/>
    </row>
    <row r="230" spans="1:12" s="2" customFormat="1" x14ac:dyDescent="0.25">
      <c r="A230" s="12"/>
      <c r="B230" s="626"/>
      <c r="C230" s="583"/>
      <c r="D230" s="986"/>
      <c r="E230" s="583"/>
      <c r="F230" s="986"/>
      <c r="G230" s="583"/>
      <c r="H230" s="986"/>
      <c r="I230" s="583"/>
      <c r="J230" s="986"/>
      <c r="K230" s="583"/>
      <c r="L230" s="585"/>
    </row>
    <row r="231" spans="1:12" s="2" customFormat="1" x14ac:dyDescent="0.25">
      <c r="A231" s="12"/>
      <c r="B231" s="622" t="str">
        <f>B186</f>
        <v>Country of Origin (P)</v>
      </c>
      <c r="C231" s="580"/>
      <c r="D231" s="985"/>
      <c r="E231" s="580"/>
      <c r="F231" s="985"/>
      <c r="G231" s="580"/>
      <c r="H231" s="985"/>
      <c r="I231" s="580"/>
      <c r="J231" s="985"/>
      <c r="K231" s="580"/>
      <c r="L231" s="582"/>
    </row>
    <row r="232" spans="1:12" s="2" customFormat="1" x14ac:dyDescent="0.25">
      <c r="A232" s="12"/>
      <c r="B232" s="626"/>
      <c r="C232" s="583"/>
      <c r="D232" s="986"/>
      <c r="E232" s="583"/>
      <c r="F232" s="986"/>
      <c r="G232" s="583"/>
      <c r="H232" s="986"/>
      <c r="I232" s="583"/>
      <c r="J232" s="986"/>
      <c r="K232" s="583"/>
      <c r="L232" s="585"/>
    </row>
    <row r="233" spans="1:12" s="2" customFormat="1" x14ac:dyDescent="0.25">
      <c r="A233" s="12"/>
      <c r="B233" s="622" t="str">
        <f>B188</f>
        <v>Volume Offered (MSF) (LD)</v>
      </c>
      <c r="C233" s="580"/>
      <c r="D233" s="985"/>
      <c r="E233" s="580"/>
      <c r="F233" s="985"/>
      <c r="G233" s="580"/>
      <c r="H233" s="985"/>
      <c r="I233" s="580"/>
      <c r="J233" s="985"/>
      <c r="K233" s="580"/>
      <c r="L233" s="582"/>
    </row>
    <row r="234" spans="1:12" s="2" customFormat="1" x14ac:dyDescent="0.25">
      <c r="A234" s="12"/>
      <c r="B234" s="626"/>
      <c r="C234" s="583"/>
      <c r="D234" s="986"/>
      <c r="E234" s="583"/>
      <c r="F234" s="986"/>
      <c r="G234" s="583"/>
      <c r="H234" s="986"/>
      <c r="I234" s="583"/>
      <c r="J234" s="986"/>
      <c r="K234" s="583"/>
      <c r="L234" s="585"/>
    </row>
    <row r="235" spans="1:12" s="2" customFormat="1" x14ac:dyDescent="0.25">
      <c r="A235" s="12"/>
      <c r="B235" s="622" t="str">
        <f>B190</f>
        <v>Volume Sold (MSF) (LD)</v>
      </c>
      <c r="C235" s="580"/>
      <c r="D235" s="985"/>
      <c r="E235" s="580"/>
      <c r="F235" s="985"/>
      <c r="G235" s="580"/>
      <c r="H235" s="985"/>
      <c r="I235" s="580"/>
      <c r="J235" s="985"/>
      <c r="K235" s="580"/>
      <c r="L235" s="582"/>
    </row>
    <row r="236" spans="1:12" s="2" customFormat="1" x14ac:dyDescent="0.25">
      <c r="A236" s="12"/>
      <c r="B236" s="626"/>
      <c r="C236" s="583"/>
      <c r="D236" s="986"/>
      <c r="E236" s="583"/>
      <c r="F236" s="986"/>
      <c r="G236" s="583"/>
      <c r="H236" s="986"/>
      <c r="I236" s="583"/>
      <c r="J236" s="986"/>
      <c r="K236" s="583"/>
      <c r="L236" s="585"/>
    </row>
    <row r="237" spans="1:12" s="2" customFormat="1" x14ac:dyDescent="0.25">
      <c r="A237" s="12"/>
      <c r="B237" s="622" t="str">
        <f>B192</f>
        <v>Price Offered ($/MSF) (LD)</v>
      </c>
      <c r="C237" s="580"/>
      <c r="D237" s="985"/>
      <c r="E237" s="580"/>
      <c r="F237" s="985"/>
      <c r="G237" s="580"/>
      <c r="H237" s="985"/>
      <c r="I237" s="580"/>
      <c r="J237" s="985"/>
      <c r="K237" s="580"/>
      <c r="L237" s="582"/>
    </row>
    <row r="238" spans="1:12" s="2" customFormat="1" x14ac:dyDescent="0.25">
      <c r="A238" s="12"/>
      <c r="B238" s="626"/>
      <c r="C238" s="583"/>
      <c r="D238" s="986"/>
      <c r="E238" s="583"/>
      <c r="F238" s="986"/>
      <c r="G238" s="583"/>
      <c r="H238" s="986"/>
      <c r="I238" s="583"/>
      <c r="J238" s="986"/>
      <c r="K238" s="583"/>
      <c r="L238" s="585"/>
    </row>
    <row r="239" spans="1:12" s="2" customFormat="1" x14ac:dyDescent="0.25">
      <c r="A239" s="12"/>
      <c r="B239" s="622" t="str">
        <f>B194</f>
        <v>Transaction Price ($/MSF) (LD)</v>
      </c>
      <c r="C239" s="580"/>
      <c r="D239" s="985"/>
      <c r="E239" s="580"/>
      <c r="F239" s="985"/>
      <c r="G239" s="580"/>
      <c r="H239" s="985"/>
      <c r="I239" s="580"/>
      <c r="J239" s="985"/>
      <c r="K239" s="580"/>
      <c r="L239" s="582"/>
    </row>
    <row r="240" spans="1:12" s="2" customFormat="1" ht="32.25" customHeight="1" x14ac:dyDescent="0.25">
      <c r="A240" s="12"/>
      <c r="B240" s="626"/>
      <c r="C240" s="583"/>
      <c r="D240" s="986"/>
      <c r="E240" s="583"/>
      <c r="F240" s="986"/>
      <c r="G240" s="583"/>
      <c r="H240" s="986"/>
      <c r="I240" s="583"/>
      <c r="J240" s="986"/>
      <c r="K240" s="583"/>
      <c r="L240" s="585"/>
    </row>
    <row r="241" spans="1:12" s="2" customFormat="1" x14ac:dyDescent="0.25">
      <c r="A241" s="12"/>
      <c r="B241" s="176"/>
      <c r="C241" s="177"/>
      <c r="D241" s="177"/>
      <c r="E241" s="177"/>
      <c r="F241" s="177"/>
      <c r="G241" s="177"/>
      <c r="H241" s="177"/>
      <c r="I241" s="177"/>
      <c r="J241" s="177"/>
      <c r="K241" s="177"/>
      <c r="L241" s="178"/>
    </row>
  </sheetData>
  <sheetProtection algorithmName="SHA-512" hashValue="wGosBJG202/EXxAeksPHOGCGSrvlaDDhHOoN9fxL0MOc4ogtM9BRNMcUCBIYurx0MolrPVN2hUhs2QlrM14ldQ==" saltValue="nWDD694Whx4Fcq6kfD3LBA==" spinCount="100000" sheet="1" objects="1" scenarios="1" selectLockedCells="1"/>
  <mergeCells count="336">
    <mergeCell ref="D28:L37"/>
    <mergeCell ref="B13:L13"/>
    <mergeCell ref="B18:C20"/>
    <mergeCell ref="B21:C21"/>
    <mergeCell ref="B22:C22"/>
    <mergeCell ref="B27:C27"/>
    <mergeCell ref="B28:C30"/>
    <mergeCell ref="B31:C31"/>
    <mergeCell ref="B32:C32"/>
    <mergeCell ref="B37:C37"/>
    <mergeCell ref="B33:C33"/>
    <mergeCell ref="B34:C34"/>
    <mergeCell ref="B35:C35"/>
    <mergeCell ref="B36:C36"/>
    <mergeCell ref="B4:L4"/>
    <mergeCell ref="B5:L5"/>
    <mergeCell ref="B6:L6"/>
    <mergeCell ref="B8:L8"/>
    <mergeCell ref="B9:L9"/>
    <mergeCell ref="B10:L10"/>
    <mergeCell ref="B12:L12"/>
    <mergeCell ref="B15:L16"/>
    <mergeCell ref="D18:L27"/>
    <mergeCell ref="B23:C23"/>
    <mergeCell ref="B24:C24"/>
    <mergeCell ref="B25:C25"/>
    <mergeCell ref="B26:C26"/>
    <mergeCell ref="D68:L77"/>
    <mergeCell ref="D78:L87"/>
    <mergeCell ref="D88:L97"/>
    <mergeCell ref="D38:L47"/>
    <mergeCell ref="D48:L57"/>
    <mergeCell ref="D58:L67"/>
    <mergeCell ref="B132:L134"/>
    <mergeCell ref="B136:L137"/>
    <mergeCell ref="B139:L140"/>
    <mergeCell ref="D98:L107"/>
    <mergeCell ref="D108:L117"/>
    <mergeCell ref="D118:L127"/>
    <mergeCell ref="B129:L129"/>
    <mergeCell ref="B38:C40"/>
    <mergeCell ref="B41:C41"/>
    <mergeCell ref="B87:C87"/>
    <mergeCell ref="B84:C84"/>
    <mergeCell ref="B85:C85"/>
    <mergeCell ref="B86:C86"/>
    <mergeCell ref="B42:C42"/>
    <mergeCell ref="B47:C47"/>
    <mergeCell ref="B48:C50"/>
    <mergeCell ref="B51:C51"/>
    <mergeCell ref="B52:C52"/>
    <mergeCell ref="B154:B155"/>
    <mergeCell ref="B153:L153"/>
    <mergeCell ref="B156:B157"/>
    <mergeCell ref="B158:B159"/>
    <mergeCell ref="B188:B189"/>
    <mergeCell ref="B180:B181"/>
    <mergeCell ref="B182:B185"/>
    <mergeCell ref="B179:L179"/>
    <mergeCell ref="B142:L142"/>
    <mergeCell ref="B147:L150"/>
    <mergeCell ref="B143:L145"/>
    <mergeCell ref="I158:J159"/>
    <mergeCell ref="K158:L159"/>
    <mergeCell ref="G158:H159"/>
    <mergeCell ref="I182:J185"/>
    <mergeCell ref="K182:L185"/>
    <mergeCell ref="E188:F189"/>
    <mergeCell ref="G188:H189"/>
    <mergeCell ref="I188:J189"/>
    <mergeCell ref="K188:L189"/>
    <mergeCell ref="E173:F174"/>
    <mergeCell ref="G173:H174"/>
    <mergeCell ref="I173:J174"/>
    <mergeCell ref="K173:L174"/>
    <mergeCell ref="C201:D202"/>
    <mergeCell ref="C203:D204"/>
    <mergeCell ref="C205:D207"/>
    <mergeCell ref="B192:B193"/>
    <mergeCell ref="B198:L198"/>
    <mergeCell ref="B164:B167"/>
    <mergeCell ref="B194:B195"/>
    <mergeCell ref="B190:B191"/>
    <mergeCell ref="B160:B162"/>
    <mergeCell ref="B163:L163"/>
    <mergeCell ref="B177:B178"/>
    <mergeCell ref="E160:F162"/>
    <mergeCell ref="G160:H162"/>
    <mergeCell ref="I160:J162"/>
    <mergeCell ref="K160:L162"/>
    <mergeCell ref="C164:D167"/>
    <mergeCell ref="C160:D162"/>
    <mergeCell ref="C192:D193"/>
    <mergeCell ref="C188:D189"/>
    <mergeCell ref="C190:D191"/>
    <mergeCell ref="C194:D195"/>
    <mergeCell ref="E180:F181"/>
    <mergeCell ref="G180:H181"/>
    <mergeCell ref="I180:J181"/>
    <mergeCell ref="B239:B240"/>
    <mergeCell ref="B235:B236"/>
    <mergeCell ref="B233:B234"/>
    <mergeCell ref="B227:B230"/>
    <mergeCell ref="B224:L224"/>
    <mergeCell ref="B225:B226"/>
    <mergeCell ref="B222:B223"/>
    <mergeCell ref="C225:D226"/>
    <mergeCell ref="E225:F226"/>
    <mergeCell ref="G225:H226"/>
    <mergeCell ref="I225:J226"/>
    <mergeCell ref="K225:L226"/>
    <mergeCell ref="C227:D230"/>
    <mergeCell ref="E227:F230"/>
    <mergeCell ref="G227:H230"/>
    <mergeCell ref="I227:J230"/>
    <mergeCell ref="K227:L230"/>
    <mergeCell ref="C233:D234"/>
    <mergeCell ref="E233:F234"/>
    <mergeCell ref="G233:H234"/>
    <mergeCell ref="I233:J234"/>
    <mergeCell ref="K233:L234"/>
    <mergeCell ref="C222:D223"/>
    <mergeCell ref="E222:F223"/>
    <mergeCell ref="B88:C90"/>
    <mergeCell ref="B91:C91"/>
    <mergeCell ref="B92:C92"/>
    <mergeCell ref="B97:C97"/>
    <mergeCell ref="B98:C100"/>
    <mergeCell ref="B101:C101"/>
    <mergeCell ref="B102:C102"/>
    <mergeCell ref="B107:C107"/>
    <mergeCell ref="B108:C110"/>
    <mergeCell ref="B93:C93"/>
    <mergeCell ref="B94:C94"/>
    <mergeCell ref="B95:C95"/>
    <mergeCell ref="B96:C96"/>
    <mergeCell ref="B103:C103"/>
    <mergeCell ref="B104:C104"/>
    <mergeCell ref="B105:C105"/>
    <mergeCell ref="B106:C106"/>
    <mergeCell ref="B111:C111"/>
    <mergeCell ref="B112:C112"/>
    <mergeCell ref="B117:C117"/>
    <mergeCell ref="B118:C120"/>
    <mergeCell ref="B121:C121"/>
    <mergeCell ref="B122:C122"/>
    <mergeCell ref="B127:C127"/>
    <mergeCell ref="B113:C113"/>
    <mergeCell ref="B114:C114"/>
    <mergeCell ref="B115:C115"/>
    <mergeCell ref="B116:C116"/>
    <mergeCell ref="B123:C123"/>
    <mergeCell ref="B124:C124"/>
    <mergeCell ref="B125:C125"/>
    <mergeCell ref="B126:C126"/>
    <mergeCell ref="B130:L130"/>
    <mergeCell ref="E164:F167"/>
    <mergeCell ref="G164:H167"/>
    <mergeCell ref="I164:J167"/>
    <mergeCell ref="K164:L167"/>
    <mergeCell ref="E177:F178"/>
    <mergeCell ref="G177:H178"/>
    <mergeCell ref="C152:D152"/>
    <mergeCell ref="E152:F152"/>
    <mergeCell ref="G152:H152"/>
    <mergeCell ref="I152:J152"/>
    <mergeCell ref="K152:L152"/>
    <mergeCell ref="C154:D155"/>
    <mergeCell ref="C156:D157"/>
    <mergeCell ref="C158:D159"/>
    <mergeCell ref="E154:F155"/>
    <mergeCell ref="G154:H155"/>
    <mergeCell ref="I154:J155"/>
    <mergeCell ref="K154:L155"/>
    <mergeCell ref="E156:F157"/>
    <mergeCell ref="G156:H157"/>
    <mergeCell ref="I156:J157"/>
    <mergeCell ref="K156:L157"/>
    <mergeCell ref="E158:F159"/>
    <mergeCell ref="E190:F191"/>
    <mergeCell ref="G190:H191"/>
    <mergeCell ref="I190:J191"/>
    <mergeCell ref="K190:L191"/>
    <mergeCell ref="E192:F193"/>
    <mergeCell ref="G192:H193"/>
    <mergeCell ref="I192:J193"/>
    <mergeCell ref="K192:L193"/>
    <mergeCell ref="G205:H207"/>
    <mergeCell ref="I205:J207"/>
    <mergeCell ref="K205:L207"/>
    <mergeCell ref="K203:L204"/>
    <mergeCell ref="E205:F207"/>
    <mergeCell ref="E199:F200"/>
    <mergeCell ref="G199:H200"/>
    <mergeCell ref="I199:J200"/>
    <mergeCell ref="K199:L200"/>
    <mergeCell ref="E201:F202"/>
    <mergeCell ref="G201:H202"/>
    <mergeCell ref="I201:J202"/>
    <mergeCell ref="K201:L202"/>
    <mergeCell ref="C209:D212"/>
    <mergeCell ref="E209:F212"/>
    <mergeCell ref="G209:H212"/>
    <mergeCell ref="I209:J212"/>
    <mergeCell ref="K209:L212"/>
    <mergeCell ref="E194:F195"/>
    <mergeCell ref="G194:H195"/>
    <mergeCell ref="I194:J195"/>
    <mergeCell ref="K194:L195"/>
    <mergeCell ref="C197:D197"/>
    <mergeCell ref="E197:F197"/>
    <mergeCell ref="G197:H197"/>
    <mergeCell ref="I197:J197"/>
    <mergeCell ref="K197:L197"/>
    <mergeCell ref="B208:L208"/>
    <mergeCell ref="B209:B212"/>
    <mergeCell ref="B205:B207"/>
    <mergeCell ref="B203:B204"/>
    <mergeCell ref="E203:F204"/>
    <mergeCell ref="G203:H204"/>
    <mergeCell ref="I203:J204"/>
    <mergeCell ref="B201:B202"/>
    <mergeCell ref="B199:B200"/>
    <mergeCell ref="C199:D200"/>
    <mergeCell ref="G222:H223"/>
    <mergeCell ref="I222:J223"/>
    <mergeCell ref="K222:L223"/>
    <mergeCell ref="C239:D240"/>
    <mergeCell ref="E239:F240"/>
    <mergeCell ref="G239:H240"/>
    <mergeCell ref="I239:J240"/>
    <mergeCell ref="K239:L240"/>
    <mergeCell ref="B168:B169"/>
    <mergeCell ref="C168:D169"/>
    <mergeCell ref="E168:F169"/>
    <mergeCell ref="G168:H169"/>
    <mergeCell ref="I168:J169"/>
    <mergeCell ref="K168:L169"/>
    <mergeCell ref="B170:B172"/>
    <mergeCell ref="C170:D172"/>
    <mergeCell ref="E170:F172"/>
    <mergeCell ref="G170:H172"/>
    <mergeCell ref="I170:J172"/>
    <mergeCell ref="K170:L172"/>
    <mergeCell ref="B173:B174"/>
    <mergeCell ref="B175:B176"/>
    <mergeCell ref="C173:D174"/>
    <mergeCell ref="C175:D176"/>
    <mergeCell ref="E175:F176"/>
    <mergeCell ref="G175:H176"/>
    <mergeCell ref="I175:J176"/>
    <mergeCell ref="K175:L176"/>
    <mergeCell ref="B186:B187"/>
    <mergeCell ref="C186:D187"/>
    <mergeCell ref="E186:F187"/>
    <mergeCell ref="G186:H187"/>
    <mergeCell ref="I186:J187"/>
    <mergeCell ref="K186:L187"/>
    <mergeCell ref="I177:J178"/>
    <mergeCell ref="K177:L178"/>
    <mergeCell ref="C180:D181"/>
    <mergeCell ref="C182:D185"/>
    <mergeCell ref="C177:D178"/>
    <mergeCell ref="K180:L181"/>
    <mergeCell ref="E182:F185"/>
    <mergeCell ref="G182:H185"/>
    <mergeCell ref="B213:B214"/>
    <mergeCell ref="C213:D214"/>
    <mergeCell ref="E213:F214"/>
    <mergeCell ref="G213:H214"/>
    <mergeCell ref="I213:J214"/>
    <mergeCell ref="K213:L214"/>
    <mergeCell ref="B215:B217"/>
    <mergeCell ref="C215:D217"/>
    <mergeCell ref="E215:F217"/>
    <mergeCell ref="G215:H217"/>
    <mergeCell ref="I215:J217"/>
    <mergeCell ref="K215:L217"/>
    <mergeCell ref="B218:B219"/>
    <mergeCell ref="C218:D219"/>
    <mergeCell ref="E218:F219"/>
    <mergeCell ref="G218:H219"/>
    <mergeCell ref="I218:J219"/>
    <mergeCell ref="K218:L219"/>
    <mergeCell ref="B220:B221"/>
    <mergeCell ref="C220:D221"/>
    <mergeCell ref="E220:F221"/>
    <mergeCell ref="G220:H221"/>
    <mergeCell ref="I220:J221"/>
    <mergeCell ref="K220:L221"/>
    <mergeCell ref="B231:B232"/>
    <mergeCell ref="C231:D232"/>
    <mergeCell ref="E231:F232"/>
    <mergeCell ref="G231:H232"/>
    <mergeCell ref="I231:J232"/>
    <mergeCell ref="K231:L232"/>
    <mergeCell ref="B237:B238"/>
    <mergeCell ref="C237:D238"/>
    <mergeCell ref="E237:F238"/>
    <mergeCell ref="G237:H238"/>
    <mergeCell ref="I237:J238"/>
    <mergeCell ref="K237:L238"/>
    <mergeCell ref="C235:D236"/>
    <mergeCell ref="E235:F236"/>
    <mergeCell ref="G235:H236"/>
    <mergeCell ref="I235:J236"/>
    <mergeCell ref="K235:L236"/>
    <mergeCell ref="B43:C43"/>
    <mergeCell ref="B63:C63"/>
    <mergeCell ref="B64:C64"/>
    <mergeCell ref="B65:C65"/>
    <mergeCell ref="B66:C66"/>
    <mergeCell ref="B73:C73"/>
    <mergeCell ref="B74:C74"/>
    <mergeCell ref="B75:C75"/>
    <mergeCell ref="B76:C76"/>
    <mergeCell ref="B57:C57"/>
    <mergeCell ref="B58:C60"/>
    <mergeCell ref="B61:C61"/>
    <mergeCell ref="B62:C62"/>
    <mergeCell ref="B44:C44"/>
    <mergeCell ref="B45:C45"/>
    <mergeCell ref="B46:C46"/>
    <mergeCell ref="B53:C53"/>
    <mergeCell ref="B54:C54"/>
    <mergeCell ref="B55:C55"/>
    <mergeCell ref="B56:C56"/>
    <mergeCell ref="B83:C83"/>
    <mergeCell ref="B67:C67"/>
    <mergeCell ref="B68:C70"/>
    <mergeCell ref="B71:C71"/>
    <mergeCell ref="B72:C72"/>
    <mergeCell ref="B77:C77"/>
    <mergeCell ref="B78:C80"/>
    <mergeCell ref="B81:C81"/>
    <mergeCell ref="B82:C82"/>
  </mergeCells>
  <dataValidations count="2">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D118 D18 D28 D38 D48 D58 D68 D78 D88 D98 D108" xr:uid="{3F69375E-B278-4A96-A079-4E06286DBEE7}">
      <formula1>1000</formula1>
    </dataValidation>
    <dataValidation allowBlank="1" showInputMessage="1" showErrorMessage="1" sqref="C164:L178 C180:L195 C199:L207 C209:L223 C225:L240" xr:uid="{5F5543A0-E1FD-4ABD-99D9-82E02B5E37B5}"/>
  </dataValidations>
  <printOptions horizontalCentered="1"/>
  <pageMargins left="0.25" right="0.25" top="0.75" bottom="0.75" header="0.3" footer="0.3"/>
  <pageSetup scale="63" fitToHeight="0" orientation="portrait" r:id="rId1"/>
  <headerFooter>
    <oddFooter>&amp;L&amp;A</oddFooter>
  </headerFooter>
  <rowBreaks count="4" manualBreakCount="4">
    <brk id="57" min="1" max="11" man="1"/>
    <brk id="107" min="1" max="11" man="1"/>
    <brk id="151" min="1" max="11" man="1"/>
    <brk id="196"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2086DB7-2D84-400A-92C5-AB46690FFBF9}">
          <x14:formula1>
            <xm:f>Variables!$D$54:$D$55</xm:f>
          </x14:formula1>
          <xm:sqref>B112 B122 B22 B32 B42 B52 B62 B72 B82 B92 B102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54293-F3A3-400D-8260-F48FC5710383}">
  <sheetPr>
    <tabColor rgb="FF92D050"/>
    <pageSetUpPr fitToPage="1"/>
  </sheetPr>
  <dimension ref="A1:P57"/>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7" width="9.140625" style="2" customWidth="1"/>
    <col min="18" max="16384" width="9.140625" style="2"/>
  </cols>
  <sheetData>
    <row r="1" spans="1:16" x14ac:dyDescent="0.25">
      <c r="O1" s="2" t="s">
        <v>720</v>
      </c>
      <c r="P1" s="2" t="s">
        <v>720</v>
      </c>
    </row>
    <row r="2" spans="1:16" x14ac:dyDescent="0.25">
      <c r="B2" s="20" t="str">
        <f>UPPER(IF(Intro!$G$21="English",O3,P3))</f>
        <v>PROTECTED</v>
      </c>
      <c r="O2" s="3" t="s">
        <v>166</v>
      </c>
      <c r="P2" s="3" t="s">
        <v>167</v>
      </c>
    </row>
    <row r="3" spans="1:16" x14ac:dyDescent="0.25">
      <c r="B3" s="21"/>
      <c r="O3" s="8" t="s">
        <v>169</v>
      </c>
      <c r="P3" s="8" t="s">
        <v>168</v>
      </c>
    </row>
    <row r="4" spans="1:16" s="8" customFormat="1" x14ac:dyDescent="0.25">
      <c r="A4" s="13"/>
      <c r="B4" s="649" t="str">
        <f>Info!B4</f>
        <v>PRODUCERS' QUESTIONNAIRE</v>
      </c>
      <c r="C4" s="650"/>
      <c r="D4" s="650"/>
      <c r="E4" s="650"/>
      <c r="F4" s="650"/>
      <c r="G4" s="650"/>
      <c r="H4" s="650"/>
      <c r="I4" s="650"/>
      <c r="J4" s="650"/>
      <c r="K4" s="650"/>
      <c r="L4" s="651"/>
      <c r="M4" s="15"/>
      <c r="N4" s="15"/>
      <c r="O4" s="14" t="s">
        <v>170</v>
      </c>
      <c r="P4" s="14" t="s">
        <v>171</v>
      </c>
    </row>
    <row r="5" spans="1:16" s="8" customFormat="1" x14ac:dyDescent="0.25">
      <c r="A5" s="13"/>
      <c r="B5" s="652" t="str">
        <f>Info!B5</f>
        <v>NQ-2026-004</v>
      </c>
      <c r="C5" s="653"/>
      <c r="D5" s="653"/>
      <c r="E5" s="653"/>
      <c r="F5" s="653"/>
      <c r="G5" s="653"/>
      <c r="H5" s="653"/>
      <c r="I5" s="653"/>
      <c r="J5" s="653"/>
      <c r="K5" s="653"/>
      <c r="L5" s="654"/>
      <c r="M5" s="15"/>
      <c r="N5" s="15"/>
      <c r="O5" s="14" t="str">
        <f>Variables!B2</f>
        <v>NQ-2026-004</v>
      </c>
      <c r="P5" s="14" t="str">
        <f>Variables!C2</f>
        <v>NQ-2026-004</v>
      </c>
    </row>
    <row r="6" spans="1:16" s="9" customFormat="1" x14ac:dyDescent="0.25">
      <c r="A6" s="13"/>
      <c r="B6" s="657" t="str">
        <f>Info!B6</f>
        <v>DECORATIVE AND OTHER NON-STRUCTURAL PLYWOOD</v>
      </c>
      <c r="C6" s="658"/>
      <c r="D6" s="658"/>
      <c r="E6" s="658"/>
      <c r="F6" s="658"/>
      <c r="G6" s="658"/>
      <c r="H6" s="658"/>
      <c r="I6" s="658"/>
      <c r="J6" s="658"/>
      <c r="K6" s="658"/>
      <c r="L6" s="659"/>
      <c r="M6" s="14"/>
      <c r="N6" s="14"/>
      <c r="O6" s="10" t="str">
        <f>Variables!B3</f>
        <v>decorative and other non-structural plywood</v>
      </c>
      <c r="P6" s="10" t="str">
        <f>Variables!C3</f>
        <v>contreplaqués décoratifs et autres contreplaqués non structuraux</v>
      </c>
    </row>
    <row r="7" spans="1:16" s="9" customFormat="1" x14ac:dyDescent="0.25">
      <c r="A7" s="13"/>
      <c r="B7" s="22"/>
      <c r="C7" s="23"/>
      <c r="D7" s="23"/>
      <c r="E7" s="23"/>
      <c r="F7" s="23"/>
      <c r="G7" s="23"/>
      <c r="H7" s="23"/>
      <c r="I7" s="23"/>
      <c r="J7" s="23"/>
      <c r="K7" s="23"/>
      <c r="L7" s="23"/>
      <c r="O7" s="10"/>
      <c r="P7" s="10"/>
    </row>
    <row r="8" spans="1:16" x14ac:dyDescent="0.25">
      <c r="B8" s="618" t="str">
        <f>UPPER(IF(Intro!$G$21="English",O8,P8))</f>
        <v>PROTECTED COMMENTS</v>
      </c>
      <c r="C8" s="619"/>
      <c r="D8" s="619"/>
      <c r="E8" s="619"/>
      <c r="F8" s="619"/>
      <c r="G8" s="619"/>
      <c r="H8" s="619"/>
      <c r="I8" s="619"/>
      <c r="J8" s="619"/>
      <c r="K8" s="619"/>
      <c r="L8" s="620"/>
      <c r="M8" s="2"/>
      <c r="O8" s="2" t="s">
        <v>156</v>
      </c>
      <c r="P8" s="2" t="s">
        <v>427</v>
      </c>
    </row>
    <row r="9" spans="1:16" x14ac:dyDescent="0.25">
      <c r="B9" s="24"/>
      <c r="C9" s="26"/>
      <c r="D9" s="26"/>
      <c r="E9" s="26"/>
      <c r="F9" s="26"/>
      <c r="G9" s="26"/>
      <c r="H9" s="26"/>
      <c r="I9" s="26"/>
      <c r="J9" s="26"/>
      <c r="K9" s="26"/>
      <c r="L9" s="27"/>
      <c r="M9" s="2"/>
    </row>
    <row r="10" spans="1:16" x14ac:dyDescent="0.25">
      <c r="B10" s="612" t="str">
        <f>IF(Intro!$G$21="English",O10,P10)</f>
        <v>Should your firm wish to add any comments related to its responses, submit them here. Be sure to indicate the applicable question number.</v>
      </c>
      <c r="C10" s="613"/>
      <c r="D10" s="613"/>
      <c r="E10" s="613"/>
      <c r="F10" s="613"/>
      <c r="G10" s="613"/>
      <c r="H10" s="613"/>
      <c r="I10" s="613"/>
      <c r="J10" s="613"/>
      <c r="K10" s="613"/>
      <c r="L10" s="614"/>
      <c r="M10" s="2"/>
      <c r="O10" s="11" t="s">
        <v>567</v>
      </c>
      <c r="P10" s="2" t="s">
        <v>410</v>
      </c>
    </row>
    <row r="11" spans="1:16" x14ac:dyDescent="0.25">
      <c r="B11" s="159"/>
      <c r="C11" s="25"/>
      <c r="D11" s="26"/>
      <c r="E11" s="26"/>
      <c r="F11" s="26"/>
      <c r="G11" s="26"/>
      <c r="H11" s="26"/>
      <c r="I11" s="26"/>
      <c r="J11" s="26"/>
      <c r="K11" s="26"/>
      <c r="L11" s="27"/>
      <c r="M11" s="2"/>
      <c r="O11" s="231" t="s">
        <v>705</v>
      </c>
      <c r="P11" s="231" t="s">
        <v>706</v>
      </c>
    </row>
    <row r="12" spans="1:16" ht="28.5" x14ac:dyDescent="0.25">
      <c r="B12" s="159"/>
      <c r="C12" s="288" t="str">
        <f>IF(Intro!$G$21="English",O11,P11)</f>
        <v>Tab and Question</v>
      </c>
      <c r="D12" s="797" t="str">
        <f>IF(Intro!$G$21="English",O12,P12)</f>
        <v>Comments</v>
      </c>
      <c r="E12" s="798"/>
      <c r="F12" s="798"/>
      <c r="G12" s="798"/>
      <c r="H12" s="798"/>
      <c r="I12" s="798"/>
      <c r="J12" s="798"/>
      <c r="K12" s="798"/>
      <c r="L12" s="799"/>
      <c r="M12" s="2"/>
      <c r="O12" s="11" t="s">
        <v>275</v>
      </c>
      <c r="P12" s="2" t="s">
        <v>276</v>
      </c>
    </row>
    <row r="13" spans="1:16" ht="14.25" customHeight="1" x14ac:dyDescent="0.25">
      <c r="B13" s="800" t="str">
        <f>IF(Intro!$G$21="English",O13,P13)</f>
        <v>Comment 1</v>
      </c>
      <c r="C13" s="803"/>
      <c r="D13" s="787"/>
      <c r="E13" s="788"/>
      <c r="F13" s="788"/>
      <c r="G13" s="788"/>
      <c r="H13" s="788"/>
      <c r="I13" s="788"/>
      <c r="J13" s="788"/>
      <c r="K13" s="788"/>
      <c r="L13" s="789"/>
      <c r="M13" s="2"/>
      <c r="O13" s="11" t="s">
        <v>277</v>
      </c>
      <c r="P13" s="2" t="s">
        <v>278</v>
      </c>
    </row>
    <row r="14" spans="1:16" x14ac:dyDescent="0.25">
      <c r="B14" s="801"/>
      <c r="C14" s="804"/>
      <c r="D14" s="790"/>
      <c r="E14" s="644"/>
      <c r="F14" s="644"/>
      <c r="G14" s="644"/>
      <c r="H14" s="644"/>
      <c r="I14" s="644"/>
      <c r="J14" s="644"/>
      <c r="K14" s="644"/>
      <c r="L14" s="645"/>
      <c r="M14" s="2"/>
    </row>
    <row r="15" spans="1:16" x14ac:dyDescent="0.25">
      <c r="B15" s="801"/>
      <c r="C15" s="804"/>
      <c r="D15" s="790"/>
      <c r="E15" s="644"/>
      <c r="F15" s="644"/>
      <c r="G15" s="644"/>
      <c r="H15" s="644"/>
      <c r="I15" s="644"/>
      <c r="J15" s="644"/>
      <c r="K15" s="644"/>
      <c r="L15" s="645"/>
      <c r="M15" s="2"/>
    </row>
    <row r="16" spans="1:16" x14ac:dyDescent="0.25">
      <c r="B16" s="801"/>
      <c r="C16" s="804"/>
      <c r="D16" s="790"/>
      <c r="E16" s="644"/>
      <c r="F16" s="644"/>
      <c r="G16" s="644"/>
      <c r="H16" s="644"/>
      <c r="I16" s="644"/>
      <c r="J16" s="644"/>
      <c r="K16" s="644"/>
      <c r="L16" s="645"/>
      <c r="M16" s="2"/>
    </row>
    <row r="17" spans="2:16" x14ac:dyDescent="0.25">
      <c r="B17" s="801"/>
      <c r="C17" s="804"/>
      <c r="D17" s="790"/>
      <c r="E17" s="644"/>
      <c r="F17" s="644"/>
      <c r="G17" s="644"/>
      <c r="H17" s="644"/>
      <c r="I17" s="644"/>
      <c r="J17" s="644"/>
      <c r="K17" s="644"/>
      <c r="L17" s="645"/>
      <c r="M17" s="2"/>
    </row>
    <row r="18" spans="2:16" x14ac:dyDescent="0.25">
      <c r="B18" s="801"/>
      <c r="C18" s="804"/>
      <c r="D18" s="790"/>
      <c r="E18" s="644"/>
      <c r="F18" s="644"/>
      <c r="G18" s="644"/>
      <c r="H18" s="644"/>
      <c r="I18" s="644"/>
      <c r="J18" s="644"/>
      <c r="K18" s="644"/>
      <c r="L18" s="645"/>
      <c r="M18" s="2"/>
      <c r="O18" s="156"/>
      <c r="P18" s="156"/>
    </row>
    <row r="19" spans="2:16" x14ac:dyDescent="0.25">
      <c r="B19" s="801"/>
      <c r="C19" s="804"/>
      <c r="D19" s="790"/>
      <c r="E19" s="644"/>
      <c r="F19" s="644"/>
      <c r="G19" s="644"/>
      <c r="H19" s="644"/>
      <c r="I19" s="644"/>
      <c r="J19" s="644"/>
      <c r="K19" s="644"/>
      <c r="L19" s="645"/>
      <c r="M19" s="2"/>
      <c r="O19" s="11"/>
    </row>
    <row r="20" spans="2:16" x14ac:dyDescent="0.25">
      <c r="B20" s="801"/>
      <c r="C20" s="804"/>
      <c r="D20" s="790"/>
      <c r="E20" s="644"/>
      <c r="F20" s="644"/>
      <c r="G20" s="644"/>
      <c r="H20" s="644"/>
      <c r="I20" s="644"/>
      <c r="J20" s="644"/>
      <c r="K20" s="644"/>
      <c r="L20" s="645"/>
      <c r="M20" s="2"/>
      <c r="O20" s="11"/>
    </row>
    <row r="21" spans="2:16" x14ac:dyDescent="0.25">
      <c r="B21" s="802"/>
      <c r="C21" s="805"/>
      <c r="D21" s="791"/>
      <c r="E21" s="792"/>
      <c r="F21" s="792"/>
      <c r="G21" s="792"/>
      <c r="H21" s="792"/>
      <c r="I21" s="792"/>
      <c r="J21" s="792"/>
      <c r="K21" s="792"/>
      <c r="L21" s="793"/>
      <c r="M21" s="2"/>
      <c r="O21" s="11"/>
    </row>
    <row r="22" spans="2:16" ht="14.25" customHeight="1" x14ac:dyDescent="0.25">
      <c r="B22" s="289" t="str">
        <f>IF(Intro!$G$21="English",O22,P22)</f>
        <v>Comment 2</v>
      </c>
      <c r="C22" s="803"/>
      <c r="D22" s="787"/>
      <c r="E22" s="788"/>
      <c r="F22" s="788"/>
      <c r="G22" s="788"/>
      <c r="H22" s="788"/>
      <c r="I22" s="788"/>
      <c r="J22" s="788"/>
      <c r="K22" s="788"/>
      <c r="L22" s="789"/>
      <c r="M22" s="2"/>
      <c r="O22" s="11" t="s">
        <v>279</v>
      </c>
      <c r="P22" s="2" t="s">
        <v>280</v>
      </c>
    </row>
    <row r="23" spans="2:16" x14ac:dyDescent="0.25">
      <c r="B23" s="159"/>
      <c r="C23" s="804"/>
      <c r="D23" s="790"/>
      <c r="E23" s="644"/>
      <c r="F23" s="644"/>
      <c r="G23" s="644"/>
      <c r="H23" s="644"/>
      <c r="I23" s="644"/>
      <c r="J23" s="644"/>
      <c r="K23" s="644"/>
      <c r="L23" s="645"/>
      <c r="M23" s="2"/>
    </row>
    <row r="24" spans="2:16" x14ac:dyDescent="0.25">
      <c r="B24" s="159"/>
      <c r="C24" s="804"/>
      <c r="D24" s="790"/>
      <c r="E24" s="644"/>
      <c r="F24" s="644"/>
      <c r="G24" s="644"/>
      <c r="H24" s="644"/>
      <c r="I24" s="644"/>
      <c r="J24" s="644"/>
      <c r="K24" s="644"/>
      <c r="L24" s="645"/>
      <c r="M24" s="2"/>
    </row>
    <row r="25" spans="2:16" x14ac:dyDescent="0.25">
      <c r="B25" s="159"/>
      <c r="C25" s="804"/>
      <c r="D25" s="790"/>
      <c r="E25" s="644"/>
      <c r="F25" s="644"/>
      <c r="G25" s="644"/>
      <c r="H25" s="644"/>
      <c r="I25" s="644"/>
      <c r="J25" s="644"/>
      <c r="K25" s="644"/>
      <c r="L25" s="645"/>
      <c r="M25" s="2"/>
    </row>
    <row r="26" spans="2:16" x14ac:dyDescent="0.25">
      <c r="B26" s="159"/>
      <c r="C26" s="804"/>
      <c r="D26" s="790"/>
      <c r="E26" s="644"/>
      <c r="F26" s="644"/>
      <c r="G26" s="644"/>
      <c r="H26" s="644"/>
      <c r="I26" s="644"/>
      <c r="J26" s="644"/>
      <c r="K26" s="644"/>
      <c r="L26" s="645"/>
      <c r="M26" s="2"/>
      <c r="O26" s="11"/>
    </row>
    <row r="27" spans="2:16" x14ac:dyDescent="0.25">
      <c r="B27" s="159"/>
      <c r="C27" s="804"/>
      <c r="D27" s="790"/>
      <c r="E27" s="644"/>
      <c r="F27" s="644"/>
      <c r="G27" s="644"/>
      <c r="H27" s="644"/>
      <c r="I27" s="644"/>
      <c r="J27" s="644"/>
      <c r="K27" s="644"/>
      <c r="L27" s="645"/>
      <c r="M27" s="2"/>
      <c r="O27" s="11"/>
    </row>
    <row r="28" spans="2:16" x14ac:dyDescent="0.25">
      <c r="B28" s="159"/>
      <c r="C28" s="804"/>
      <c r="D28" s="790"/>
      <c r="E28" s="644"/>
      <c r="F28" s="644"/>
      <c r="G28" s="644"/>
      <c r="H28" s="644"/>
      <c r="I28" s="644"/>
      <c r="J28" s="644"/>
      <c r="K28" s="644"/>
      <c r="L28" s="645"/>
      <c r="M28" s="2"/>
      <c r="O28" s="11"/>
    </row>
    <row r="29" spans="2:16" x14ac:dyDescent="0.25">
      <c r="B29" s="159"/>
      <c r="C29" s="804"/>
      <c r="D29" s="790"/>
      <c r="E29" s="644"/>
      <c r="F29" s="644"/>
      <c r="G29" s="644"/>
      <c r="H29" s="644"/>
      <c r="I29" s="644"/>
      <c r="J29" s="644"/>
      <c r="K29" s="644"/>
      <c r="L29" s="645"/>
      <c r="M29" s="2"/>
      <c r="O29" s="11"/>
    </row>
    <row r="30" spans="2:16" x14ac:dyDescent="0.25">
      <c r="B30" s="210"/>
      <c r="C30" s="805"/>
      <c r="D30" s="791"/>
      <c r="E30" s="792"/>
      <c r="F30" s="792"/>
      <c r="G30" s="792"/>
      <c r="H30" s="792"/>
      <c r="I30" s="792"/>
      <c r="J30" s="792"/>
      <c r="K30" s="792"/>
      <c r="L30" s="793"/>
      <c r="M30" s="2"/>
      <c r="O30" s="11"/>
    </row>
    <row r="31" spans="2:16" ht="14.25" customHeight="1" x14ac:dyDescent="0.25">
      <c r="B31" s="289" t="str">
        <f>IF(Intro!$G$21="English",O31,P31)</f>
        <v>Comment 3</v>
      </c>
      <c r="C31" s="803"/>
      <c r="D31" s="787"/>
      <c r="E31" s="788"/>
      <c r="F31" s="788"/>
      <c r="G31" s="788"/>
      <c r="H31" s="788"/>
      <c r="I31" s="788"/>
      <c r="J31" s="788"/>
      <c r="K31" s="788"/>
      <c r="L31" s="789"/>
      <c r="M31" s="2"/>
      <c r="O31" s="11" t="s">
        <v>281</v>
      </c>
      <c r="P31" s="2" t="s">
        <v>282</v>
      </c>
    </row>
    <row r="32" spans="2:16" x14ac:dyDescent="0.25">
      <c r="B32" s="159"/>
      <c r="C32" s="804"/>
      <c r="D32" s="790"/>
      <c r="E32" s="644"/>
      <c r="F32" s="644"/>
      <c r="G32" s="644"/>
      <c r="H32" s="644"/>
      <c r="I32" s="644"/>
      <c r="J32" s="644"/>
      <c r="K32" s="644"/>
      <c r="L32" s="645"/>
      <c r="M32" s="2"/>
    </row>
    <row r="33" spans="2:16" x14ac:dyDescent="0.25">
      <c r="B33" s="159"/>
      <c r="C33" s="804"/>
      <c r="D33" s="790"/>
      <c r="E33" s="644"/>
      <c r="F33" s="644"/>
      <c r="G33" s="644"/>
      <c r="H33" s="644"/>
      <c r="I33" s="644"/>
      <c r="J33" s="644"/>
      <c r="K33" s="644"/>
      <c r="L33" s="645"/>
      <c r="M33" s="2"/>
    </row>
    <row r="34" spans="2:16" x14ac:dyDescent="0.25">
      <c r="B34" s="159"/>
      <c r="C34" s="804"/>
      <c r="D34" s="790"/>
      <c r="E34" s="644"/>
      <c r="F34" s="644"/>
      <c r="G34" s="644"/>
      <c r="H34" s="644"/>
      <c r="I34" s="644"/>
      <c r="J34" s="644"/>
      <c r="K34" s="644"/>
      <c r="L34" s="645"/>
      <c r="M34" s="2"/>
      <c r="O34" s="11"/>
    </row>
    <row r="35" spans="2:16" x14ac:dyDescent="0.25">
      <c r="B35" s="159"/>
      <c r="C35" s="804"/>
      <c r="D35" s="790"/>
      <c r="E35" s="644"/>
      <c r="F35" s="644"/>
      <c r="G35" s="644"/>
      <c r="H35" s="644"/>
      <c r="I35" s="644"/>
      <c r="J35" s="644"/>
      <c r="K35" s="644"/>
      <c r="L35" s="645"/>
      <c r="M35" s="2"/>
      <c r="O35" s="11"/>
    </row>
    <row r="36" spans="2:16" x14ac:dyDescent="0.25">
      <c r="B36" s="159"/>
      <c r="C36" s="804"/>
      <c r="D36" s="790"/>
      <c r="E36" s="644"/>
      <c r="F36" s="644"/>
      <c r="G36" s="644"/>
      <c r="H36" s="644"/>
      <c r="I36" s="644"/>
      <c r="J36" s="644"/>
      <c r="K36" s="644"/>
      <c r="L36" s="645"/>
      <c r="M36" s="2"/>
      <c r="O36" s="11"/>
    </row>
    <row r="37" spans="2:16" x14ac:dyDescent="0.25">
      <c r="B37" s="159"/>
      <c r="C37" s="804"/>
      <c r="D37" s="790"/>
      <c r="E37" s="644"/>
      <c r="F37" s="644"/>
      <c r="G37" s="644"/>
      <c r="H37" s="644"/>
      <c r="I37" s="644"/>
      <c r="J37" s="644"/>
      <c r="K37" s="644"/>
      <c r="L37" s="645"/>
      <c r="M37" s="2"/>
      <c r="O37" s="11"/>
    </row>
    <row r="38" spans="2:16" x14ac:dyDescent="0.25">
      <c r="B38" s="159"/>
      <c r="C38" s="804"/>
      <c r="D38" s="790"/>
      <c r="E38" s="644"/>
      <c r="F38" s="644"/>
      <c r="G38" s="644"/>
      <c r="H38" s="644"/>
      <c r="I38" s="644"/>
      <c r="J38" s="644"/>
      <c r="K38" s="644"/>
      <c r="L38" s="645"/>
      <c r="M38" s="2"/>
      <c r="O38" s="11"/>
    </row>
    <row r="39" spans="2:16" x14ac:dyDescent="0.25">
      <c r="B39" s="210"/>
      <c r="C39" s="805"/>
      <c r="D39" s="791"/>
      <c r="E39" s="792"/>
      <c r="F39" s="792"/>
      <c r="G39" s="792"/>
      <c r="H39" s="792"/>
      <c r="I39" s="792"/>
      <c r="J39" s="792"/>
      <c r="K39" s="792"/>
      <c r="L39" s="793"/>
      <c r="M39" s="2"/>
      <c r="O39" s="11"/>
    </row>
    <row r="40" spans="2:16" ht="14.25" customHeight="1" x14ac:dyDescent="0.25">
      <c r="B40" s="289" t="str">
        <f>IF(Intro!$G$21="English",O40,P40)</f>
        <v>Comment 4</v>
      </c>
      <c r="C40" s="803"/>
      <c r="D40" s="787"/>
      <c r="E40" s="788"/>
      <c r="F40" s="788"/>
      <c r="G40" s="788"/>
      <c r="H40" s="788"/>
      <c r="I40" s="788"/>
      <c r="J40" s="788"/>
      <c r="K40" s="788"/>
      <c r="L40" s="789"/>
      <c r="M40" s="2"/>
      <c r="O40" s="11" t="s">
        <v>283</v>
      </c>
      <c r="P40" s="2" t="s">
        <v>284</v>
      </c>
    </row>
    <row r="41" spans="2:16" x14ac:dyDescent="0.25">
      <c r="B41" s="159"/>
      <c r="C41" s="804"/>
      <c r="D41" s="790"/>
      <c r="E41" s="644"/>
      <c r="F41" s="644"/>
      <c r="G41" s="644"/>
      <c r="H41" s="644"/>
      <c r="I41" s="644"/>
      <c r="J41" s="644"/>
      <c r="K41" s="644"/>
      <c r="L41" s="645"/>
      <c r="M41" s="2"/>
    </row>
    <row r="42" spans="2:16" x14ac:dyDescent="0.25">
      <c r="B42" s="159"/>
      <c r="C42" s="804"/>
      <c r="D42" s="790"/>
      <c r="E42" s="644"/>
      <c r="F42" s="644"/>
      <c r="G42" s="644"/>
      <c r="H42" s="644"/>
      <c r="I42" s="644"/>
      <c r="J42" s="644"/>
      <c r="K42" s="644"/>
      <c r="L42" s="645"/>
      <c r="M42" s="2"/>
      <c r="O42" s="11"/>
    </row>
    <row r="43" spans="2:16" x14ac:dyDescent="0.25">
      <c r="B43" s="159"/>
      <c r="C43" s="804"/>
      <c r="D43" s="790"/>
      <c r="E43" s="644"/>
      <c r="F43" s="644"/>
      <c r="G43" s="644"/>
      <c r="H43" s="644"/>
      <c r="I43" s="644"/>
      <c r="J43" s="644"/>
      <c r="K43" s="644"/>
      <c r="L43" s="645"/>
      <c r="M43" s="2"/>
      <c r="O43" s="11"/>
    </row>
    <row r="44" spans="2:16" x14ac:dyDescent="0.25">
      <c r="B44" s="159"/>
      <c r="C44" s="804"/>
      <c r="D44" s="790"/>
      <c r="E44" s="644"/>
      <c r="F44" s="644"/>
      <c r="G44" s="644"/>
      <c r="H44" s="644"/>
      <c r="I44" s="644"/>
      <c r="J44" s="644"/>
      <c r="K44" s="644"/>
      <c r="L44" s="645"/>
      <c r="M44" s="2"/>
      <c r="O44" s="11"/>
    </row>
    <row r="45" spans="2:16" x14ac:dyDescent="0.25">
      <c r="B45" s="159"/>
      <c r="C45" s="804"/>
      <c r="D45" s="790"/>
      <c r="E45" s="644"/>
      <c r="F45" s="644"/>
      <c r="G45" s="644"/>
      <c r="H45" s="644"/>
      <c r="I45" s="644"/>
      <c r="J45" s="644"/>
      <c r="K45" s="644"/>
      <c r="L45" s="645"/>
      <c r="M45" s="2"/>
      <c r="O45" s="11"/>
    </row>
    <row r="46" spans="2:16" x14ac:dyDescent="0.25">
      <c r="B46" s="159"/>
      <c r="C46" s="804"/>
      <c r="D46" s="790"/>
      <c r="E46" s="644"/>
      <c r="F46" s="644"/>
      <c r="G46" s="644"/>
      <c r="H46" s="644"/>
      <c r="I46" s="644"/>
      <c r="J46" s="644"/>
      <c r="K46" s="644"/>
      <c r="L46" s="645"/>
      <c r="M46" s="2"/>
      <c r="O46" s="11"/>
    </row>
    <row r="47" spans="2:16" x14ac:dyDescent="0.25">
      <c r="B47" s="159"/>
      <c r="C47" s="804"/>
      <c r="D47" s="790"/>
      <c r="E47" s="644"/>
      <c r="F47" s="644"/>
      <c r="G47" s="644"/>
      <c r="H47" s="644"/>
      <c r="I47" s="644"/>
      <c r="J47" s="644"/>
      <c r="K47" s="644"/>
      <c r="L47" s="645"/>
      <c r="M47" s="2"/>
      <c r="O47" s="11"/>
    </row>
    <row r="48" spans="2:16" x14ac:dyDescent="0.25">
      <c r="B48" s="210"/>
      <c r="C48" s="805"/>
      <c r="D48" s="791"/>
      <c r="E48" s="792"/>
      <c r="F48" s="792"/>
      <c r="G48" s="792"/>
      <c r="H48" s="792"/>
      <c r="I48" s="792"/>
      <c r="J48" s="792"/>
      <c r="K48" s="792"/>
      <c r="L48" s="793"/>
      <c r="M48" s="2"/>
      <c r="O48" s="11"/>
    </row>
    <row r="49" spans="1:16" ht="14.25" customHeight="1" x14ac:dyDescent="0.25">
      <c r="B49" s="289" t="str">
        <f>IF(Intro!$G$21="English",O49,P49)</f>
        <v>Comment 5</v>
      </c>
      <c r="C49" s="803"/>
      <c r="D49" s="787"/>
      <c r="E49" s="788"/>
      <c r="F49" s="788"/>
      <c r="G49" s="788"/>
      <c r="H49" s="788"/>
      <c r="I49" s="788"/>
      <c r="J49" s="788"/>
      <c r="K49" s="788"/>
      <c r="L49" s="789"/>
      <c r="M49" s="2"/>
      <c r="O49" s="11" t="s">
        <v>285</v>
      </c>
      <c r="P49" s="2" t="s">
        <v>286</v>
      </c>
    </row>
    <row r="50" spans="1:16" x14ac:dyDescent="0.25">
      <c r="B50" s="159"/>
      <c r="C50" s="804"/>
      <c r="D50" s="790"/>
      <c r="E50" s="644"/>
      <c r="F50" s="644"/>
      <c r="G50" s="644"/>
      <c r="H50" s="644"/>
      <c r="I50" s="644"/>
      <c r="J50" s="644"/>
      <c r="K50" s="644"/>
      <c r="L50" s="645"/>
      <c r="M50" s="2"/>
      <c r="O50" s="11"/>
    </row>
    <row r="51" spans="1:16" x14ac:dyDescent="0.25">
      <c r="B51" s="159"/>
      <c r="C51" s="804"/>
      <c r="D51" s="790"/>
      <c r="E51" s="644"/>
      <c r="F51" s="644"/>
      <c r="G51" s="644"/>
      <c r="H51" s="644"/>
      <c r="I51" s="644"/>
      <c r="J51" s="644"/>
      <c r="K51" s="644"/>
      <c r="L51" s="645"/>
      <c r="M51" s="2"/>
      <c r="O51" s="11"/>
    </row>
    <row r="52" spans="1:16" x14ac:dyDescent="0.25">
      <c r="B52" s="159"/>
      <c r="C52" s="804"/>
      <c r="D52" s="790"/>
      <c r="E52" s="644"/>
      <c r="F52" s="644"/>
      <c r="G52" s="644"/>
      <c r="H52" s="644"/>
      <c r="I52" s="644"/>
      <c r="J52" s="644"/>
      <c r="K52" s="644"/>
      <c r="L52" s="645"/>
      <c r="M52" s="2"/>
      <c r="O52" s="11"/>
    </row>
    <row r="53" spans="1:16" x14ac:dyDescent="0.25">
      <c r="B53" s="159"/>
      <c r="C53" s="804"/>
      <c r="D53" s="790"/>
      <c r="E53" s="644"/>
      <c r="F53" s="644"/>
      <c r="G53" s="644"/>
      <c r="H53" s="644"/>
      <c r="I53" s="644"/>
      <c r="J53" s="644"/>
      <c r="K53" s="644"/>
      <c r="L53" s="645"/>
      <c r="M53" s="2"/>
      <c r="O53" s="11"/>
    </row>
    <row r="54" spans="1:16" x14ac:dyDescent="0.25">
      <c r="B54" s="159"/>
      <c r="C54" s="804"/>
      <c r="D54" s="790"/>
      <c r="E54" s="644"/>
      <c r="F54" s="644"/>
      <c r="G54" s="644"/>
      <c r="H54" s="644"/>
      <c r="I54" s="644"/>
      <c r="J54" s="644"/>
      <c r="K54" s="644"/>
      <c r="L54" s="645"/>
      <c r="M54" s="2"/>
      <c r="O54" s="11"/>
    </row>
    <row r="55" spans="1:16" x14ac:dyDescent="0.25">
      <c r="B55" s="159"/>
      <c r="C55" s="804"/>
      <c r="D55" s="790"/>
      <c r="E55" s="644"/>
      <c r="F55" s="644"/>
      <c r="G55" s="644"/>
      <c r="H55" s="644"/>
      <c r="I55" s="644"/>
      <c r="J55" s="644"/>
      <c r="K55" s="644"/>
      <c r="L55" s="645"/>
      <c r="M55" s="2"/>
      <c r="O55" s="11"/>
    </row>
    <row r="56" spans="1:16" x14ac:dyDescent="0.25">
      <c r="B56" s="159"/>
      <c r="C56" s="804"/>
      <c r="D56" s="790"/>
      <c r="E56" s="644"/>
      <c r="F56" s="644"/>
      <c r="G56" s="644"/>
      <c r="H56" s="644"/>
      <c r="I56" s="644"/>
      <c r="J56" s="644"/>
      <c r="K56" s="644"/>
      <c r="L56" s="645"/>
      <c r="M56" s="2"/>
      <c r="O56" s="11"/>
    </row>
    <row r="57" spans="1:16" s="156" customFormat="1" x14ac:dyDescent="0.25">
      <c r="A57" s="180"/>
      <c r="B57" s="36"/>
      <c r="C57" s="805"/>
      <c r="D57" s="794"/>
      <c r="E57" s="795"/>
      <c r="F57" s="795"/>
      <c r="G57" s="795"/>
      <c r="H57" s="795"/>
      <c r="I57" s="795"/>
      <c r="J57" s="795"/>
      <c r="K57" s="795"/>
      <c r="L57" s="796"/>
      <c r="N57" s="182"/>
    </row>
  </sheetData>
  <sheetProtection algorithmName="SHA-512" hashValue="7WFikdF3GnnYT6OBd1jWT6yHS3sNtqFphBJ2bial6cStt+5HpLov4m2B52eHQP1Fd1Cwpsw1s3ppDn2vZNgwSg==" saltValue="YvYgEVmDmZVAD8c2SQgf4w==" spinCount="100000" sheet="1" objects="1" scenarios="1" selectLockedCells="1"/>
  <mergeCells count="17">
    <mergeCell ref="B4:L4"/>
    <mergeCell ref="B5:L5"/>
    <mergeCell ref="B6:L6"/>
    <mergeCell ref="B10:L10"/>
    <mergeCell ref="B8:L8"/>
    <mergeCell ref="D40:L48"/>
    <mergeCell ref="D49:L57"/>
    <mergeCell ref="D12:L12"/>
    <mergeCell ref="B13:B21"/>
    <mergeCell ref="D13:L21"/>
    <mergeCell ref="D22:L30"/>
    <mergeCell ref="D31:L39"/>
    <mergeCell ref="C13:C21"/>
    <mergeCell ref="C22:C30"/>
    <mergeCell ref="C31:C39"/>
    <mergeCell ref="C40:C48"/>
    <mergeCell ref="C49:C57"/>
  </mergeCells>
  <phoneticPr fontId="18" type="noConversion"/>
  <printOptions horizontalCentered="1"/>
  <pageMargins left="0.25" right="0.25" top="0.75" bottom="0.75" header="0.3" footer="0.3"/>
  <pageSetup scale="63" fitToHeight="0" orientation="portrait" r:id="rId1"/>
  <headerFooter>
    <oddFooter>&amp;L&amp;A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F07A1-970C-4876-9646-4168019D28DD}">
  <sheetPr>
    <tabColor rgb="FF00B0F0"/>
    <pageSetUpPr fitToPage="1"/>
  </sheetPr>
  <dimension ref="A1:Q85"/>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8" width="9.140625" style="2" customWidth="1"/>
    <col min="19" max="16384" width="9.140625" style="2"/>
  </cols>
  <sheetData>
    <row r="1" spans="1:16" x14ac:dyDescent="0.25">
      <c r="O1" s="2" t="s">
        <v>720</v>
      </c>
      <c r="P1" s="2" t="s">
        <v>720</v>
      </c>
    </row>
    <row r="2" spans="1:16" x14ac:dyDescent="0.25">
      <c r="B2" s="20" t="s">
        <v>0</v>
      </c>
      <c r="O2" s="3" t="s">
        <v>166</v>
      </c>
      <c r="P2" s="3" t="s">
        <v>167</v>
      </c>
    </row>
    <row r="3" spans="1:16" x14ac:dyDescent="0.25">
      <c r="B3" s="21"/>
      <c r="O3" s="8"/>
      <c r="P3" s="8"/>
    </row>
    <row r="4" spans="1:16" s="8" customFormat="1" x14ac:dyDescent="0.25">
      <c r="A4" s="13"/>
      <c r="B4" s="649" t="str">
        <f>Info!B4</f>
        <v>PRODUCERS' QUESTIONNAIRE</v>
      </c>
      <c r="C4" s="650"/>
      <c r="D4" s="650"/>
      <c r="E4" s="650"/>
      <c r="F4" s="650"/>
      <c r="G4" s="650"/>
      <c r="H4" s="650"/>
      <c r="I4" s="650"/>
      <c r="J4" s="650"/>
      <c r="K4" s="650"/>
      <c r="L4" s="651"/>
      <c r="M4" s="15"/>
      <c r="N4" s="15"/>
      <c r="O4" s="14"/>
      <c r="P4" s="14"/>
    </row>
    <row r="5" spans="1:16" s="8" customFormat="1" x14ac:dyDescent="0.25">
      <c r="A5" s="13"/>
      <c r="B5" s="652" t="str">
        <f>Info!B5</f>
        <v>NQ-2026-004</v>
      </c>
      <c r="C5" s="653"/>
      <c r="D5" s="653"/>
      <c r="E5" s="653"/>
      <c r="F5" s="653"/>
      <c r="G5" s="653"/>
      <c r="H5" s="653"/>
      <c r="I5" s="653"/>
      <c r="J5" s="653"/>
      <c r="K5" s="653"/>
      <c r="L5" s="654"/>
      <c r="M5" s="15"/>
      <c r="N5" s="15"/>
      <c r="O5" s="14"/>
      <c r="P5" s="14"/>
    </row>
    <row r="6" spans="1:16" s="9" customFormat="1" x14ac:dyDescent="0.25">
      <c r="A6" s="13"/>
      <c r="B6" s="657" t="str">
        <f>Info!B6</f>
        <v>DECORATIVE AND OTHER NON-STRUCTURAL PLYWOOD</v>
      </c>
      <c r="C6" s="658"/>
      <c r="D6" s="658"/>
      <c r="E6" s="658"/>
      <c r="F6" s="658"/>
      <c r="G6" s="658"/>
      <c r="H6" s="658"/>
      <c r="I6" s="658"/>
      <c r="J6" s="658"/>
      <c r="K6" s="658"/>
      <c r="L6" s="659"/>
      <c r="M6" s="14"/>
      <c r="N6" s="14"/>
      <c r="O6" s="10"/>
      <c r="P6" s="10"/>
    </row>
    <row r="7" spans="1:16" s="9" customFormat="1" x14ac:dyDescent="0.25">
      <c r="A7" s="13"/>
      <c r="B7" s="22"/>
      <c r="C7" s="23"/>
      <c r="D7" s="23"/>
      <c r="E7" s="23"/>
      <c r="F7" s="23"/>
      <c r="G7" s="23"/>
      <c r="H7" s="23"/>
      <c r="I7" s="23"/>
      <c r="J7" s="23"/>
      <c r="K7" s="23"/>
      <c r="L7" s="23"/>
      <c r="O7" s="10"/>
      <c r="P7" s="10"/>
    </row>
    <row r="8" spans="1:16" x14ac:dyDescent="0.25">
      <c r="B8" s="618" t="str">
        <f>IF(Intro!$G$21="English",O8,P8)</f>
        <v>CONFIRMATION OF REPORTED DATA</v>
      </c>
      <c r="C8" s="619"/>
      <c r="D8" s="619"/>
      <c r="E8" s="619"/>
      <c r="F8" s="619"/>
      <c r="G8" s="619"/>
      <c r="H8" s="619"/>
      <c r="I8" s="619"/>
      <c r="J8" s="619"/>
      <c r="K8" s="619"/>
      <c r="L8" s="620"/>
      <c r="M8" s="2"/>
      <c r="O8" s="2" t="s">
        <v>18</v>
      </c>
      <c r="P8" s="2" t="s">
        <v>19</v>
      </c>
    </row>
    <row r="9" spans="1:16" x14ac:dyDescent="0.25">
      <c r="B9" s="618" t="str">
        <f>IF(Intro!$G$21="English",O9,P9)</f>
        <v>GENERAL</v>
      </c>
      <c r="C9" s="619"/>
      <c r="D9" s="619"/>
      <c r="E9" s="619"/>
      <c r="F9" s="619"/>
      <c r="G9" s="619"/>
      <c r="H9" s="619"/>
      <c r="I9" s="619"/>
      <c r="J9" s="619"/>
      <c r="K9" s="619"/>
      <c r="L9" s="620"/>
      <c r="M9" s="2"/>
      <c r="O9" s="199" t="s">
        <v>661</v>
      </c>
      <c r="P9" s="199" t="s">
        <v>662</v>
      </c>
    </row>
    <row r="10" spans="1:16" x14ac:dyDescent="0.25">
      <c r="B10" s="170"/>
      <c r="C10" s="171"/>
      <c r="D10" s="171"/>
      <c r="E10" s="171"/>
      <c r="F10" s="171"/>
      <c r="G10" s="171"/>
      <c r="H10" s="171"/>
      <c r="I10" s="171"/>
      <c r="J10" s="171"/>
      <c r="K10" s="171"/>
      <c r="L10" s="172"/>
      <c r="M10" s="2"/>
    </row>
    <row r="11" spans="1:16" s="1" customFormat="1" x14ac:dyDescent="0.25">
      <c r="A11" s="280"/>
      <c r="B11" s="37"/>
      <c r="C11" s="19"/>
      <c r="D11" s="19"/>
      <c r="E11" s="19"/>
      <c r="F11" s="19"/>
      <c r="G11" s="19"/>
      <c r="H11" s="19"/>
      <c r="I11" s="19"/>
      <c r="J11" s="281" t="str">
        <f>IF(Intro!$G$21="English",O11,P11)</f>
        <v>Select Yes or No</v>
      </c>
      <c r="K11" s="19"/>
      <c r="L11" s="38"/>
      <c r="O11" s="1" t="s">
        <v>362</v>
      </c>
      <c r="P11" s="1" t="s">
        <v>671</v>
      </c>
    </row>
    <row r="12" spans="1:16" s="152" customFormat="1" x14ac:dyDescent="0.25">
      <c r="A12" s="173"/>
      <c r="B12" s="590" t="str">
        <f>IF(Intro!$G$21="English",O12,P12)</f>
        <v>Confirm that all data reported in this questionnaire pertain to the goods as defined in the "Intro" tab.</v>
      </c>
      <c r="C12" s="591"/>
      <c r="D12" s="591"/>
      <c r="E12" s="591"/>
      <c r="F12" s="591"/>
      <c r="G12" s="591"/>
      <c r="H12" s="591"/>
      <c r="I12" s="591"/>
      <c r="J12" s="208"/>
      <c r="K12" s="174"/>
      <c r="L12" s="175"/>
      <c r="O12" s="152" t="s">
        <v>703</v>
      </c>
      <c r="P12" s="152" t="s">
        <v>704</v>
      </c>
    </row>
    <row r="13" spans="1:16" s="152" customFormat="1" x14ac:dyDescent="0.25">
      <c r="A13" s="173"/>
      <c r="B13" s="590" t="str">
        <f>IF(Intro!$G$21="English",O13,P13)</f>
        <v>Confirm that all volumes reported in this questionnaire are in MSF.</v>
      </c>
      <c r="C13" s="591"/>
      <c r="D13" s="591"/>
      <c r="E13" s="591"/>
      <c r="F13" s="591"/>
      <c r="G13" s="591"/>
      <c r="H13" s="591"/>
      <c r="I13" s="591"/>
      <c r="J13" s="208"/>
      <c r="L13" s="175"/>
      <c r="O13" s="152" t="str">
        <f>"Confirm that all volumes reported in this questionnaire are in "&amp;Variables!B23&amp;"."</f>
        <v>Confirm that all volumes reported in this questionnaire are in MSF.</v>
      </c>
      <c r="P13" s="152" t="str">
        <f>"Confirmez que tous les volumes déclarés dans ce questionnaire sont en "&amp;Variables!C23&amp;"."</f>
        <v>Confirmez que tous les volumes déclarés dans ce questionnaire sont en MPC.</v>
      </c>
    </row>
    <row r="14" spans="1:16" s="152" customFormat="1" x14ac:dyDescent="0.25">
      <c r="A14" s="173"/>
      <c r="B14" s="590" t="str">
        <f>IF(Intro!$G$21="English",O14,P14)</f>
        <v>Confirm that all values reported in this questionnaire are in Canadian Dollars.</v>
      </c>
      <c r="C14" s="591"/>
      <c r="D14" s="591"/>
      <c r="E14" s="591"/>
      <c r="F14" s="591"/>
      <c r="G14" s="591"/>
      <c r="H14" s="591"/>
      <c r="I14" s="591"/>
      <c r="J14" s="208"/>
      <c r="L14" s="175"/>
      <c r="O14" s="152" t="s">
        <v>429</v>
      </c>
      <c r="P14" s="152" t="s">
        <v>428</v>
      </c>
    </row>
    <row r="15" spans="1:16" s="152" customFormat="1" x14ac:dyDescent="0.25">
      <c r="A15" s="173"/>
      <c r="B15" s="590" t="str">
        <f>IF(Intro!$G$21="English",O15,P15)</f>
        <v>Confirm that all information is reported on a calendar-year basis.</v>
      </c>
      <c r="C15" s="591"/>
      <c r="D15" s="591"/>
      <c r="E15" s="591"/>
      <c r="F15" s="591"/>
      <c r="G15" s="591"/>
      <c r="H15" s="591"/>
      <c r="I15" s="591"/>
      <c r="J15" s="208"/>
      <c r="K15" s="174"/>
      <c r="L15" s="175"/>
      <c r="O15" s="152" t="s">
        <v>157</v>
      </c>
      <c r="P15" s="152" t="s">
        <v>158</v>
      </c>
    </row>
    <row r="16" spans="1:16" x14ac:dyDescent="0.25">
      <c r="B16" s="170"/>
      <c r="C16" s="171"/>
      <c r="D16" s="171"/>
      <c r="E16" s="171"/>
      <c r="F16" s="171"/>
      <c r="G16" s="171"/>
      <c r="H16" s="171"/>
      <c r="I16" s="171"/>
      <c r="J16" s="171"/>
      <c r="K16" s="171"/>
      <c r="L16" s="172"/>
      <c r="M16" s="2"/>
    </row>
    <row r="17" spans="1:16" x14ac:dyDescent="0.25">
      <c r="B17" s="612" t="str">
        <f>IF(Intro!$G$21="English",O17,P17)</f>
        <v>If no, explain.</v>
      </c>
      <c r="C17" s="613"/>
      <c r="D17" s="613"/>
      <c r="E17" s="613"/>
      <c r="F17" s="613"/>
      <c r="G17" s="613"/>
      <c r="H17" s="613"/>
      <c r="I17" s="613"/>
      <c r="J17" s="613"/>
      <c r="K17" s="613"/>
      <c r="L17" s="614"/>
      <c r="M17" s="2"/>
      <c r="O17" s="155" t="s">
        <v>574</v>
      </c>
      <c r="P17" s="9" t="s">
        <v>575</v>
      </c>
    </row>
    <row r="18" spans="1:16" s="152" customFormat="1" x14ac:dyDescent="0.25">
      <c r="A18" s="173"/>
      <c r="B18" s="185"/>
      <c r="C18" s="174"/>
      <c r="D18" s="174"/>
      <c r="E18" s="174"/>
      <c r="F18" s="174"/>
      <c r="G18" s="174"/>
      <c r="H18" s="174"/>
      <c r="I18" s="174"/>
      <c r="J18" s="174"/>
      <c r="K18" s="174"/>
      <c r="L18" s="175"/>
      <c r="O18" s="9"/>
      <c r="P18" s="9"/>
    </row>
    <row r="19" spans="1:16" s="3" customFormat="1" x14ac:dyDescent="0.25">
      <c r="A19" s="12"/>
      <c r="B19" s="705"/>
      <c r="C19" s="706"/>
      <c r="D19" s="706"/>
      <c r="E19" s="706"/>
      <c r="F19" s="706"/>
      <c r="G19" s="706"/>
      <c r="H19" s="706"/>
      <c r="I19" s="706"/>
      <c r="J19" s="706"/>
      <c r="K19" s="706"/>
      <c r="L19" s="707"/>
      <c r="M19" s="152"/>
      <c r="O19" s="154"/>
      <c r="P19" s="154"/>
    </row>
    <row r="20" spans="1:16" s="3" customFormat="1" x14ac:dyDescent="0.25">
      <c r="A20" s="12"/>
      <c r="B20" s="705"/>
      <c r="C20" s="706"/>
      <c r="D20" s="706"/>
      <c r="E20" s="706"/>
      <c r="F20" s="706"/>
      <c r="G20" s="706"/>
      <c r="H20" s="706"/>
      <c r="I20" s="706"/>
      <c r="J20" s="706"/>
      <c r="K20" s="706"/>
      <c r="L20" s="707"/>
      <c r="M20" s="152"/>
      <c r="O20" s="154"/>
      <c r="P20" s="154"/>
    </row>
    <row r="21" spans="1:16" s="3" customFormat="1" x14ac:dyDescent="0.25">
      <c r="A21" s="12"/>
      <c r="B21" s="705"/>
      <c r="C21" s="706"/>
      <c r="D21" s="706"/>
      <c r="E21" s="706"/>
      <c r="F21" s="706"/>
      <c r="G21" s="706"/>
      <c r="H21" s="706"/>
      <c r="I21" s="706"/>
      <c r="J21" s="706"/>
      <c r="K21" s="706"/>
      <c r="L21" s="707"/>
      <c r="M21" s="152"/>
      <c r="O21" s="154"/>
      <c r="P21" s="154"/>
    </row>
    <row r="22" spans="1:16" s="3" customFormat="1" x14ac:dyDescent="0.25">
      <c r="A22" s="12"/>
      <c r="B22" s="705"/>
      <c r="C22" s="706"/>
      <c r="D22" s="706"/>
      <c r="E22" s="706"/>
      <c r="F22" s="706"/>
      <c r="G22" s="706"/>
      <c r="H22" s="706"/>
      <c r="I22" s="706"/>
      <c r="J22" s="706"/>
      <c r="K22" s="706"/>
      <c r="L22" s="707"/>
      <c r="M22" s="152"/>
      <c r="O22" s="154"/>
      <c r="P22" s="154"/>
    </row>
    <row r="23" spans="1:16" s="3" customFormat="1" x14ac:dyDescent="0.25">
      <c r="A23" s="12"/>
      <c r="B23" s="705"/>
      <c r="C23" s="706"/>
      <c r="D23" s="706"/>
      <c r="E23" s="706"/>
      <c r="F23" s="706"/>
      <c r="G23" s="706"/>
      <c r="H23" s="706"/>
      <c r="I23" s="706"/>
      <c r="J23" s="706"/>
      <c r="K23" s="706"/>
      <c r="L23" s="707"/>
      <c r="M23" s="152"/>
      <c r="O23" s="154"/>
      <c r="P23" s="154"/>
    </row>
    <row r="24" spans="1:16" s="3" customFormat="1" x14ac:dyDescent="0.25">
      <c r="A24" s="12"/>
      <c r="B24" s="705"/>
      <c r="C24" s="706"/>
      <c r="D24" s="706"/>
      <c r="E24" s="706"/>
      <c r="F24" s="706"/>
      <c r="G24" s="706"/>
      <c r="H24" s="706"/>
      <c r="I24" s="706"/>
      <c r="J24" s="706"/>
      <c r="K24" s="706"/>
      <c r="L24" s="707"/>
      <c r="M24" s="152"/>
      <c r="O24" s="154"/>
      <c r="P24" s="154"/>
    </row>
    <row r="25" spans="1:16" s="3" customFormat="1" x14ac:dyDescent="0.25">
      <c r="A25" s="12"/>
      <c r="B25" s="705"/>
      <c r="C25" s="706"/>
      <c r="D25" s="706"/>
      <c r="E25" s="706"/>
      <c r="F25" s="706"/>
      <c r="G25" s="706"/>
      <c r="H25" s="706"/>
      <c r="I25" s="706"/>
      <c r="J25" s="706"/>
      <c r="K25" s="706"/>
      <c r="L25" s="707"/>
      <c r="M25" s="152"/>
      <c r="O25" s="154"/>
      <c r="P25" s="154"/>
    </row>
    <row r="26" spans="1:16" s="3" customFormat="1" x14ac:dyDescent="0.25">
      <c r="A26" s="12"/>
      <c r="B26" s="705"/>
      <c r="C26" s="706"/>
      <c r="D26" s="706"/>
      <c r="E26" s="706"/>
      <c r="F26" s="706"/>
      <c r="G26" s="706"/>
      <c r="H26" s="706"/>
      <c r="I26" s="706"/>
      <c r="J26" s="706"/>
      <c r="K26" s="706"/>
      <c r="L26" s="707"/>
      <c r="M26" s="152"/>
      <c r="O26" s="154"/>
      <c r="P26" s="154"/>
    </row>
    <row r="27" spans="1:16" x14ac:dyDescent="0.25">
      <c r="B27" s="170"/>
      <c r="C27" s="171"/>
      <c r="D27" s="171"/>
      <c r="E27" s="171"/>
      <c r="F27" s="171"/>
      <c r="G27" s="171"/>
      <c r="H27" s="171"/>
      <c r="I27" s="171"/>
      <c r="J27" s="171"/>
      <c r="K27" s="171"/>
      <c r="L27" s="172"/>
      <c r="M27" s="2"/>
    </row>
    <row r="28" spans="1:16" x14ac:dyDescent="0.25">
      <c r="B28" s="1010" t="str">
        <f>IF(Intro!$G$21="English",O28,P28)</f>
        <v>PRODUCTION AND SALES</v>
      </c>
      <c r="C28" s="1011"/>
      <c r="D28" s="1011"/>
      <c r="E28" s="1011"/>
      <c r="F28" s="1011"/>
      <c r="G28" s="1011"/>
      <c r="H28" s="1011"/>
      <c r="I28" s="1011"/>
      <c r="J28" s="1011"/>
      <c r="K28" s="1011"/>
      <c r="L28" s="1012"/>
      <c r="M28" s="2"/>
      <c r="O28" s="199" t="s">
        <v>659</v>
      </c>
      <c r="P28" s="199" t="s">
        <v>660</v>
      </c>
    </row>
    <row r="29" spans="1:16" x14ac:dyDescent="0.25">
      <c r="B29" s="170"/>
      <c r="C29" s="171"/>
      <c r="D29" s="171"/>
      <c r="E29" s="171"/>
      <c r="F29" s="171"/>
      <c r="G29" s="171"/>
      <c r="H29" s="171"/>
      <c r="I29" s="171"/>
      <c r="J29" s="171"/>
      <c r="K29" s="171"/>
      <c r="L29" s="172"/>
      <c r="M29" s="2"/>
    </row>
    <row r="30" spans="1:16" x14ac:dyDescent="0.25">
      <c r="B30" s="612" t="str">
        <f>IF(Intro!$G$21="English",O30,P30)</f>
        <v>Note: Public/non-confidential information in this table is automatically generated from the information provided in the "Pro 1" and "Pro 2" tabs. Any changes to this public summary must therefore be made in the "Pro 1" and "Pro 2" tabs.</v>
      </c>
      <c r="C30" s="613"/>
      <c r="D30" s="613"/>
      <c r="E30" s="613"/>
      <c r="F30" s="613"/>
      <c r="G30" s="613"/>
      <c r="H30" s="613"/>
      <c r="I30" s="613"/>
      <c r="J30" s="613"/>
      <c r="K30" s="613"/>
      <c r="L30" s="614"/>
      <c r="M30" s="2"/>
      <c r="O30" s="2" t="s">
        <v>335</v>
      </c>
      <c r="P30" s="2" t="s">
        <v>336</v>
      </c>
    </row>
    <row r="31" spans="1:16" x14ac:dyDescent="0.25">
      <c r="B31" s="612"/>
      <c r="C31" s="613"/>
      <c r="D31" s="613"/>
      <c r="E31" s="613"/>
      <c r="F31" s="613"/>
      <c r="G31" s="613"/>
      <c r="H31" s="613"/>
      <c r="I31" s="613"/>
      <c r="J31" s="613"/>
      <c r="K31" s="613"/>
      <c r="L31" s="614"/>
      <c r="M31" s="2"/>
    </row>
    <row r="32" spans="1:16" x14ac:dyDescent="0.25">
      <c r="B32" s="170"/>
      <c r="C32" s="171"/>
      <c r="D32" s="171"/>
      <c r="E32" s="171"/>
      <c r="F32" s="171"/>
      <c r="G32" s="171"/>
      <c r="H32" s="171"/>
      <c r="I32" s="171"/>
      <c r="J32" s="171"/>
      <c r="K32" s="171"/>
      <c r="L32" s="172"/>
      <c r="M32" s="2"/>
    </row>
    <row r="33" spans="1:16" x14ac:dyDescent="0.25">
      <c r="B33" s="159"/>
      <c r="C33" s="2"/>
      <c r="D33" s="2"/>
      <c r="E33" s="826">
        <f>Variables!B6</f>
        <v>2023</v>
      </c>
      <c r="F33" s="826">
        <f>E33+1</f>
        <v>2024</v>
      </c>
      <c r="G33" s="826">
        <f>F33+1</f>
        <v>2025</v>
      </c>
      <c r="H33" s="826" t="str">
        <f>IF(Intro!$G$21="English",Variables!B9,Variables!C9)</f>
        <v>Jan-Mar 2025</v>
      </c>
      <c r="I33" s="826" t="str">
        <f>IF(Intro!$G$21="English",Variables!B10,Variables!C10)</f>
        <v>Jan-Mar 2026</v>
      </c>
      <c r="J33" s="152"/>
      <c r="K33" s="152"/>
      <c r="L33" s="179"/>
      <c r="M33" s="2"/>
      <c r="O33" s="11"/>
    </row>
    <row r="34" spans="1:16" x14ac:dyDescent="0.25">
      <c r="B34" s="159"/>
      <c r="C34" s="2"/>
      <c r="D34" s="2"/>
      <c r="E34" s="827"/>
      <c r="F34" s="827"/>
      <c r="G34" s="827"/>
      <c r="H34" s="827"/>
      <c r="I34" s="827"/>
      <c r="J34" s="152"/>
      <c r="K34" s="152"/>
      <c r="L34" s="179"/>
      <c r="M34" s="2"/>
      <c r="O34" s="11"/>
    </row>
    <row r="35" spans="1:16" s="152" customFormat="1" x14ac:dyDescent="0.25">
      <c r="A35" s="173"/>
      <c r="B35" s="726" t="str">
        <f>IF(Intro!$G$21="English",O35,P35)</f>
        <v>Production</v>
      </c>
      <c r="C35" s="727"/>
      <c r="D35" s="727"/>
      <c r="E35" s="220" t="str">
        <f>IF('Pro 1'!G23&lt;&gt;0,"X","-")</f>
        <v>-</v>
      </c>
      <c r="F35" s="220" t="str">
        <f>IF('Pro 1'!H23&lt;&gt;0,"X","-")</f>
        <v>-</v>
      </c>
      <c r="G35" s="220" t="str">
        <f>IF('Pro 1'!I23&lt;&gt;0,"X","-")</f>
        <v>-</v>
      </c>
      <c r="H35" s="220" t="str">
        <f>IF('Pro 1'!J23&lt;&gt;0,"X","-")</f>
        <v>-</v>
      </c>
      <c r="I35" s="220" t="str">
        <f>IF('Pro 1'!K23&lt;&gt;0,"X","-")</f>
        <v>-</v>
      </c>
      <c r="L35" s="179"/>
      <c r="O35" s="152" t="s">
        <v>40</v>
      </c>
      <c r="P35" s="152" t="s">
        <v>40</v>
      </c>
    </row>
    <row r="36" spans="1:16" s="152" customFormat="1" x14ac:dyDescent="0.25">
      <c r="A36" s="173"/>
      <c r="B36" s="726" t="str">
        <f>'Pro 2'!B28</f>
        <v>Sales to distributors in Canada</v>
      </c>
      <c r="C36" s="727"/>
      <c r="D36" s="727"/>
      <c r="E36" s="220" t="str">
        <f>IF(SUM('Pro 2'!G28:G29)&lt;&gt;0,"X","-")</f>
        <v>-</v>
      </c>
      <c r="F36" s="220" t="str">
        <f>IF(SUM('Pro 2'!H28:H29)&lt;&gt;0,"X","-")</f>
        <v>-</v>
      </c>
      <c r="G36" s="220" t="str">
        <f>IF(SUM('Pro 2'!I28:I29)&lt;&gt;0,"X","-")</f>
        <v>-</v>
      </c>
      <c r="H36" s="220" t="str">
        <f>IF(SUM('Pro 2'!J28:J29)&lt;&gt;0,"X","-")</f>
        <v>-</v>
      </c>
      <c r="I36" s="220" t="str">
        <f>IF(SUM('Pro 2'!K28:K29)&lt;&gt;0,"X","-")</f>
        <v>-</v>
      </c>
      <c r="L36" s="179"/>
    </row>
    <row r="37" spans="1:16" s="152" customFormat="1" x14ac:dyDescent="0.25">
      <c r="A37" s="173"/>
      <c r="B37" s="726" t="str">
        <f>'Pro 2'!B31</f>
        <v>Sales to end users/OEM in Canada</v>
      </c>
      <c r="C37" s="727"/>
      <c r="D37" s="727"/>
      <c r="E37" s="220" t="str">
        <f>IF(SUM('Pro 2'!G31:G32)&lt;&gt;0,"X","-")</f>
        <v>-</v>
      </c>
      <c r="F37" s="220" t="str">
        <f>IF(SUM('Pro 2'!H31:H32)&lt;&gt;0,"X","-")</f>
        <v>-</v>
      </c>
      <c r="G37" s="220" t="str">
        <f>IF(SUM('Pro 2'!I31:I32)&lt;&gt;0,"X","-")</f>
        <v>-</v>
      </c>
      <c r="H37" s="220" t="str">
        <f>IF(SUM('Pro 2'!J31:J32)&lt;&gt;0,"X","-")</f>
        <v>-</v>
      </c>
      <c r="I37" s="220" t="str">
        <f>IF(SUM('Pro 2'!K31:K32)&lt;&gt;0,"X","-")</f>
        <v>-</v>
      </c>
      <c r="L37" s="179"/>
    </row>
    <row r="38" spans="1:16" s="152" customFormat="1" x14ac:dyDescent="0.25">
      <c r="A38" s="173"/>
      <c r="B38" s="726" t="str">
        <f>'Pro 2'!B34</f>
        <v>Sales to retailers in Canada</v>
      </c>
      <c r="C38" s="727"/>
      <c r="D38" s="727"/>
      <c r="E38" s="220" t="str">
        <f>IF(SUM('Pro 2'!G34:G35)&lt;&gt;0,"X","-")</f>
        <v>-</v>
      </c>
      <c r="F38" s="220" t="str">
        <f>IF(SUM('Pro 2'!H34:H35)&lt;&gt;0,"X","-")</f>
        <v>-</v>
      </c>
      <c r="G38" s="220" t="str">
        <f>IF(SUM('Pro 2'!I34:I35)&lt;&gt;0,"X","-")</f>
        <v>-</v>
      </c>
      <c r="H38" s="220" t="str">
        <f>IF(SUM('Pro 2'!J34:J35)&lt;&gt;0,"X","-")</f>
        <v>-</v>
      </c>
      <c r="I38" s="220" t="str">
        <f>IF(SUM('Pro 2'!K34:K35)&lt;&gt;0,"X","-")</f>
        <v>-</v>
      </c>
      <c r="L38" s="179"/>
    </row>
    <row r="39" spans="1:16" s="152" customFormat="1" x14ac:dyDescent="0.25">
      <c r="A39" s="173"/>
      <c r="B39" s="726" t="str">
        <f>'Pro 2'!B40</f>
        <v>Export sales</v>
      </c>
      <c r="C39" s="727"/>
      <c r="D39" s="727"/>
      <c r="E39" s="220" t="str">
        <f>IF(SUM('Pro 2'!G40:G41)&lt;&gt;0,"X","-")</f>
        <v>-</v>
      </c>
      <c r="F39" s="220" t="str">
        <f>IF(SUM('Pro 2'!H40:H41)&lt;&gt;0,"X","-")</f>
        <v>-</v>
      </c>
      <c r="G39" s="220" t="str">
        <f>IF(SUM('Pro 2'!I40:I41)&lt;&gt;0,"X","-")</f>
        <v>-</v>
      </c>
      <c r="H39" s="220" t="str">
        <f>IF(SUM('Pro 2'!J40:J41)&lt;&gt;0,"X","-")</f>
        <v>-</v>
      </c>
      <c r="I39" s="220" t="str">
        <f>IF(SUM('Pro 2'!K40:K41)&lt;&gt;0,"X","-")</f>
        <v>-</v>
      </c>
      <c r="L39" s="179"/>
    </row>
    <row r="40" spans="1:16" x14ac:dyDescent="0.25">
      <c r="B40" s="176"/>
      <c r="C40" s="177"/>
      <c r="D40" s="177"/>
      <c r="E40" s="177"/>
      <c r="F40" s="177"/>
      <c r="G40" s="177"/>
      <c r="H40" s="177"/>
      <c r="I40" s="177"/>
      <c r="J40" s="177"/>
      <c r="K40" s="177"/>
      <c r="L40" s="178"/>
      <c r="M40" s="2"/>
    </row>
    <row r="41" spans="1:16" x14ac:dyDescent="0.25">
      <c r="B41" s="618" t="str">
        <f>'Pro 4'!B12</f>
        <v>NEGATIVE EFFECTS OF IMPORTS</v>
      </c>
      <c r="C41" s="619"/>
      <c r="D41" s="619"/>
      <c r="E41" s="619"/>
      <c r="F41" s="619"/>
      <c r="G41" s="619"/>
      <c r="H41" s="619"/>
      <c r="I41" s="619"/>
      <c r="J41" s="619"/>
      <c r="K41" s="619"/>
      <c r="L41" s="620"/>
      <c r="M41" s="2"/>
    </row>
    <row r="42" spans="1:16" x14ac:dyDescent="0.25">
      <c r="B42" s="170"/>
      <c r="C42" s="171"/>
      <c r="D42" s="171"/>
      <c r="E42" s="171"/>
      <c r="F42" s="171"/>
      <c r="G42" s="171"/>
      <c r="H42" s="171"/>
      <c r="I42" s="171"/>
      <c r="J42" s="171"/>
      <c r="K42" s="171"/>
      <c r="L42" s="172"/>
      <c r="M42" s="2"/>
    </row>
    <row r="43" spans="1:16" x14ac:dyDescent="0.25">
      <c r="B43" s="612" t="str">
        <f>IF(Intro!$G$21="English",O43,P43)</f>
        <v>Note: Public/non-confidential information in this table is automatically generated from the information provided in the rows denoted with a (P) in the "Pro 4" tab. Any changes to this public summary must therefore be made in the "Pro 4" tab.</v>
      </c>
      <c r="C43" s="613"/>
      <c r="D43" s="613"/>
      <c r="E43" s="613"/>
      <c r="F43" s="613"/>
      <c r="G43" s="613"/>
      <c r="H43" s="613"/>
      <c r="I43" s="613"/>
      <c r="J43" s="613"/>
      <c r="K43" s="613"/>
      <c r="L43" s="614"/>
      <c r="M43" s="2"/>
      <c r="O43" s="2" t="s">
        <v>386</v>
      </c>
      <c r="P43" s="2" t="s">
        <v>387</v>
      </c>
    </row>
    <row r="44" spans="1:16" x14ac:dyDescent="0.25">
      <c r="B44" s="612"/>
      <c r="C44" s="613"/>
      <c r="D44" s="613"/>
      <c r="E44" s="613"/>
      <c r="F44" s="613"/>
      <c r="G44" s="613"/>
      <c r="H44" s="613"/>
      <c r="I44" s="613"/>
      <c r="J44" s="613"/>
      <c r="K44" s="613"/>
      <c r="L44" s="614"/>
      <c r="M44" s="2"/>
    </row>
    <row r="45" spans="1:16" x14ac:dyDescent="0.25">
      <c r="B45" s="159"/>
      <c r="C45" s="26"/>
      <c r="D45" s="26"/>
      <c r="E45" s="26"/>
      <c r="F45" s="26"/>
      <c r="G45" s="26"/>
      <c r="H45" s="26"/>
      <c r="I45" s="26"/>
      <c r="J45" s="26"/>
      <c r="K45" s="26"/>
      <c r="L45" s="27"/>
      <c r="M45" s="2"/>
      <c r="O45" s="11"/>
    </row>
    <row r="46" spans="1:16" x14ac:dyDescent="0.25">
      <c r="B46" s="229" t="str">
        <f>'Pro 4'!B152</f>
        <v>Allegation</v>
      </c>
      <c r="C46" s="1001">
        <v>1</v>
      </c>
      <c r="D46" s="1001"/>
      <c r="E46" s="1001">
        <v>2</v>
      </c>
      <c r="F46" s="1001">
        <v>4</v>
      </c>
      <c r="G46" s="1001">
        <v>3</v>
      </c>
      <c r="H46" s="1001">
        <v>6</v>
      </c>
      <c r="I46" s="1001">
        <v>4</v>
      </c>
      <c r="J46" s="1001">
        <v>8</v>
      </c>
      <c r="K46" s="1001">
        <v>5</v>
      </c>
      <c r="L46" s="1009">
        <v>10</v>
      </c>
      <c r="M46" s="2"/>
      <c r="O46" s="11"/>
    </row>
    <row r="47" spans="1:16" s="3" customFormat="1" x14ac:dyDescent="0.25">
      <c r="A47" s="18"/>
      <c r="B47" s="828" t="str">
        <f>'Pro 4'!B153</f>
        <v>General Information</v>
      </c>
      <c r="C47" s="731"/>
      <c r="D47" s="731"/>
      <c r="E47" s="731"/>
      <c r="F47" s="731"/>
      <c r="G47" s="731"/>
      <c r="H47" s="731"/>
      <c r="I47" s="731"/>
      <c r="J47" s="731"/>
      <c r="K47" s="731"/>
      <c r="L47" s="732"/>
      <c r="O47" s="4"/>
    </row>
    <row r="48" spans="1:16" x14ac:dyDescent="0.25">
      <c r="B48" s="590" t="str">
        <f>'Pro 4'!B160</f>
        <v>Nature of Alleged Injury (P)</v>
      </c>
      <c r="C48" s="1004" t="str">
        <f>IF('Pro 4'!C160="","-",'Pro 4'!C160)</f>
        <v>-</v>
      </c>
      <c r="D48" s="1004"/>
      <c r="E48" s="1004" t="str">
        <f>IF('Pro 4'!E160="","-",'Pro 4'!E160)</f>
        <v>-</v>
      </c>
      <c r="F48" s="1004"/>
      <c r="G48" s="1004" t="str">
        <f>IF('Pro 4'!G160="","-",'Pro 4'!G160)</f>
        <v>-</v>
      </c>
      <c r="H48" s="1004"/>
      <c r="I48" s="1004" t="str">
        <f>IF('Pro 4'!I160="","-",'Pro 4'!I160)</f>
        <v>-</v>
      </c>
      <c r="J48" s="1004"/>
      <c r="K48" s="1004" t="str">
        <f>IF('Pro 4'!K160="","-",'Pro 4'!K160)</f>
        <v>-</v>
      </c>
      <c r="L48" s="1005"/>
      <c r="M48" s="2"/>
    </row>
    <row r="49" spans="1:17" x14ac:dyDescent="0.25">
      <c r="B49" s="590"/>
      <c r="C49" s="1004"/>
      <c r="D49" s="1004"/>
      <c r="E49" s="1004"/>
      <c r="F49" s="1004"/>
      <c r="G49" s="1004"/>
      <c r="H49" s="1004"/>
      <c r="I49" s="1004"/>
      <c r="J49" s="1004"/>
      <c r="K49" s="1004"/>
      <c r="L49" s="1005"/>
      <c r="M49" s="2"/>
    </row>
    <row r="50" spans="1:17" x14ac:dyDescent="0.25">
      <c r="B50" s="590"/>
      <c r="C50" s="1004"/>
      <c r="D50" s="1004"/>
      <c r="E50" s="1004"/>
      <c r="F50" s="1004"/>
      <c r="G50" s="1004"/>
      <c r="H50" s="1004"/>
      <c r="I50" s="1004"/>
      <c r="J50" s="1004"/>
      <c r="K50" s="1004"/>
      <c r="L50" s="1005"/>
      <c r="M50" s="2"/>
    </row>
    <row r="51" spans="1:17" s="3" customFormat="1" x14ac:dyDescent="0.25">
      <c r="A51" s="12"/>
      <c r="B51" s="828" t="str">
        <f>'Pro 4'!B163</f>
        <v>Domestic Producer's Offer</v>
      </c>
      <c r="C51" s="731"/>
      <c r="D51" s="731"/>
      <c r="E51" s="731"/>
      <c r="F51" s="731"/>
      <c r="G51" s="731"/>
      <c r="H51" s="731"/>
      <c r="I51" s="731"/>
      <c r="J51" s="731"/>
      <c r="K51" s="731"/>
      <c r="L51" s="732"/>
      <c r="O51" s="4"/>
      <c r="P51" s="4"/>
      <c r="Q51" s="4"/>
    </row>
    <row r="52" spans="1:17" x14ac:dyDescent="0.25">
      <c r="B52" s="590" t="str">
        <f>'Pro 4'!B164</f>
        <v>Product Description (P)</v>
      </c>
      <c r="C52" s="1004" t="str">
        <f>IF('Pro 4'!C164="","-",'Pro 4'!C164)</f>
        <v>-</v>
      </c>
      <c r="D52" s="1004"/>
      <c r="E52" s="1004" t="str">
        <f>IF('Pro 4'!E164="","-",'Pro 4'!E164)</f>
        <v>-</v>
      </c>
      <c r="F52" s="1004"/>
      <c r="G52" s="1004" t="str">
        <f>IF('Pro 4'!G164="","-",'Pro 4'!G164)</f>
        <v>-</v>
      </c>
      <c r="H52" s="1004"/>
      <c r="I52" s="1004" t="str">
        <f>IF('Pro 4'!I164="","-",'Pro 4'!I164)</f>
        <v>-</v>
      </c>
      <c r="J52" s="1004"/>
      <c r="K52" s="1004" t="str">
        <f>IF('Pro 4'!K164="","-",'Pro 4'!K164)</f>
        <v>-</v>
      </c>
      <c r="L52" s="1005"/>
      <c r="M52" s="2"/>
    </row>
    <row r="53" spans="1:17" x14ac:dyDescent="0.25">
      <c r="B53" s="590"/>
      <c r="C53" s="1004"/>
      <c r="D53" s="1004"/>
      <c r="E53" s="1004"/>
      <c r="F53" s="1004"/>
      <c r="G53" s="1004"/>
      <c r="H53" s="1004"/>
      <c r="I53" s="1004"/>
      <c r="J53" s="1004"/>
      <c r="K53" s="1004"/>
      <c r="L53" s="1005"/>
      <c r="M53" s="2"/>
    </row>
    <row r="54" spans="1:17" x14ac:dyDescent="0.25">
      <c r="B54" s="590"/>
      <c r="C54" s="1004"/>
      <c r="D54" s="1004"/>
      <c r="E54" s="1004"/>
      <c r="F54" s="1004"/>
      <c r="G54" s="1004"/>
      <c r="H54" s="1004"/>
      <c r="I54" s="1004"/>
      <c r="J54" s="1004"/>
      <c r="K54" s="1004"/>
      <c r="L54" s="1005"/>
      <c r="M54" s="2"/>
    </row>
    <row r="55" spans="1:17" x14ac:dyDescent="0.25">
      <c r="B55" s="590"/>
      <c r="C55" s="1004"/>
      <c r="D55" s="1004"/>
      <c r="E55" s="1004"/>
      <c r="F55" s="1004"/>
      <c r="G55" s="1004"/>
      <c r="H55" s="1004"/>
      <c r="I55" s="1004"/>
      <c r="J55" s="1004"/>
      <c r="K55" s="1004"/>
      <c r="L55" s="1005"/>
      <c r="M55" s="2"/>
    </row>
    <row r="56" spans="1:17" x14ac:dyDescent="0.25">
      <c r="B56" s="590" t="str">
        <f>'Pro 4'!B168</f>
        <v>Date of Transaction (P)</v>
      </c>
      <c r="C56" s="1004" t="str">
        <f>IF('Pro 4'!C168="","-",'Pro 4'!C168)</f>
        <v>-</v>
      </c>
      <c r="D56" s="1004"/>
      <c r="E56" s="1004" t="str">
        <f>IF('Pro 4'!E168="","-",'Pro 4'!E168)</f>
        <v>-</v>
      </c>
      <c r="F56" s="1004"/>
      <c r="G56" s="1004" t="str">
        <f>IF('Pro 4'!G168="","-",'Pro 4'!G168)</f>
        <v>-</v>
      </c>
      <c r="H56" s="1004"/>
      <c r="I56" s="1004" t="str">
        <f>IF('Pro 4'!I168="","-",'Pro 4'!I168)</f>
        <v>-</v>
      </c>
      <c r="J56" s="1004"/>
      <c r="K56" s="1004" t="str">
        <f>IF('Pro 4'!K168="","-",'Pro 4'!K168)</f>
        <v>-</v>
      </c>
      <c r="L56" s="1005"/>
      <c r="M56" s="2"/>
    </row>
    <row r="57" spans="1:17" x14ac:dyDescent="0.25">
      <c r="B57" s="590"/>
      <c r="C57" s="1004"/>
      <c r="D57" s="1004"/>
      <c r="E57" s="1004"/>
      <c r="F57" s="1004"/>
      <c r="G57" s="1004"/>
      <c r="H57" s="1004"/>
      <c r="I57" s="1004"/>
      <c r="J57" s="1004"/>
      <c r="K57" s="1004"/>
      <c r="L57" s="1005"/>
      <c r="M57" s="2"/>
    </row>
    <row r="58" spans="1:17" s="3" customFormat="1" x14ac:dyDescent="0.25">
      <c r="A58" s="12"/>
      <c r="B58" s="828" t="str">
        <f>'Pro 4'!B179</f>
        <v>Competitor's Offer</v>
      </c>
      <c r="C58" s="731"/>
      <c r="D58" s="731"/>
      <c r="E58" s="731"/>
      <c r="F58" s="731"/>
      <c r="G58" s="731"/>
      <c r="H58" s="731"/>
      <c r="I58" s="731"/>
      <c r="J58" s="731"/>
      <c r="K58" s="731"/>
      <c r="L58" s="732"/>
      <c r="O58" s="4"/>
    </row>
    <row r="59" spans="1:17" x14ac:dyDescent="0.25">
      <c r="B59" s="590" t="str">
        <f>'Pro 4'!B182</f>
        <v>Product Description (P)</v>
      </c>
      <c r="C59" s="1004" t="str">
        <f>IF('Pro 4'!C182="","-",'Pro 4'!C182)</f>
        <v>-</v>
      </c>
      <c r="D59" s="1004"/>
      <c r="E59" s="1004" t="str">
        <f>IF('Pro 4'!E182="","-",'Pro 4'!E182)</f>
        <v>-</v>
      </c>
      <c r="F59" s="1004"/>
      <c r="G59" s="1004" t="str">
        <f>IF('Pro 4'!G182="","-",'Pro 4'!G182)</f>
        <v>-</v>
      </c>
      <c r="H59" s="1004"/>
      <c r="I59" s="1004" t="str">
        <f>IF('Pro 4'!I182="","-",'Pro 4'!IJ182)</f>
        <v>-</v>
      </c>
      <c r="J59" s="1004"/>
      <c r="K59" s="1004" t="str">
        <f>IF('Pro 4'!K182="","-",'Pro 4'!K182)</f>
        <v>-</v>
      </c>
      <c r="L59" s="1005"/>
      <c r="M59" s="2"/>
    </row>
    <row r="60" spans="1:17" x14ac:dyDescent="0.25">
      <c r="B60" s="590"/>
      <c r="C60" s="1004"/>
      <c r="D60" s="1004"/>
      <c r="E60" s="1004"/>
      <c r="F60" s="1004"/>
      <c r="G60" s="1004"/>
      <c r="H60" s="1004"/>
      <c r="I60" s="1004"/>
      <c r="J60" s="1004"/>
      <c r="K60" s="1004"/>
      <c r="L60" s="1005"/>
      <c r="M60" s="2"/>
    </row>
    <row r="61" spans="1:17" x14ac:dyDescent="0.25">
      <c r="B61" s="590"/>
      <c r="C61" s="1004"/>
      <c r="D61" s="1004"/>
      <c r="E61" s="1004"/>
      <c r="F61" s="1004"/>
      <c r="G61" s="1004"/>
      <c r="H61" s="1004"/>
      <c r="I61" s="1004"/>
      <c r="J61" s="1004"/>
      <c r="K61" s="1004"/>
      <c r="L61" s="1005"/>
      <c r="M61" s="2"/>
    </row>
    <row r="62" spans="1:17" x14ac:dyDescent="0.25">
      <c r="B62" s="590"/>
      <c r="C62" s="1004"/>
      <c r="D62" s="1004"/>
      <c r="E62" s="1004"/>
      <c r="F62" s="1004"/>
      <c r="G62" s="1004"/>
      <c r="H62" s="1004"/>
      <c r="I62" s="1004"/>
      <c r="J62" s="1004"/>
      <c r="K62" s="1004"/>
      <c r="L62" s="1005"/>
      <c r="M62" s="2"/>
    </row>
    <row r="63" spans="1:17" x14ac:dyDescent="0.25">
      <c r="B63" s="622" t="str">
        <f>'Pro 4'!B186</f>
        <v>Country of Origin (P)</v>
      </c>
      <c r="C63" s="999" t="str">
        <f>IF('Pro 4'!C186="","-",'Pro 4'!C186)</f>
        <v>-</v>
      </c>
      <c r="D63" s="999"/>
      <c r="E63" s="999" t="str">
        <f>IF('Pro 4'!E186="","-",'Pro 4'!E186)</f>
        <v>-</v>
      </c>
      <c r="F63" s="999"/>
      <c r="G63" s="999" t="str">
        <f>IF('Pro 4'!G186="","-",'Pro 4'!G186)</f>
        <v>-</v>
      </c>
      <c r="H63" s="999"/>
      <c r="I63" s="999" t="str">
        <f>IF('Pro 4'!I186="","-",'Pro 4'!I186)</f>
        <v>-</v>
      </c>
      <c r="J63" s="999"/>
      <c r="K63" s="999" t="str">
        <f>IF('Pro 4'!K186="","-",'Pro 4'!K186)</f>
        <v>-</v>
      </c>
      <c r="L63" s="1002"/>
      <c r="M63" s="2"/>
    </row>
    <row r="64" spans="1:17" x14ac:dyDescent="0.25">
      <c r="B64" s="626"/>
      <c r="C64" s="1000"/>
      <c r="D64" s="1000"/>
      <c r="E64" s="1000"/>
      <c r="F64" s="1000"/>
      <c r="G64" s="1000"/>
      <c r="H64" s="1000"/>
      <c r="I64" s="1000"/>
      <c r="J64" s="1000"/>
      <c r="K64" s="1000"/>
      <c r="L64" s="1003"/>
      <c r="M64" s="2"/>
    </row>
    <row r="65" spans="1:17" x14ac:dyDescent="0.25">
      <c r="B65" s="230"/>
      <c r="C65" s="201"/>
      <c r="D65" s="201"/>
      <c r="E65" s="201"/>
      <c r="F65" s="201"/>
      <c r="G65" s="201"/>
      <c r="H65" s="201"/>
      <c r="I65" s="201"/>
      <c r="J65" s="201"/>
      <c r="K65" s="201"/>
      <c r="L65" s="202"/>
      <c r="M65" s="2"/>
      <c r="O65" s="11"/>
    </row>
    <row r="66" spans="1:17" x14ac:dyDescent="0.25">
      <c r="B66" s="229" t="str">
        <f>B46</f>
        <v>Allegation</v>
      </c>
      <c r="C66" s="1001">
        <v>6</v>
      </c>
      <c r="D66" s="1001"/>
      <c r="E66" s="1001">
        <v>7</v>
      </c>
      <c r="F66" s="1001">
        <v>4</v>
      </c>
      <c r="G66" s="1001">
        <v>8</v>
      </c>
      <c r="H66" s="1001">
        <v>6</v>
      </c>
      <c r="I66" s="1001">
        <v>9</v>
      </c>
      <c r="J66" s="1001">
        <v>8</v>
      </c>
      <c r="K66" s="1001">
        <v>10</v>
      </c>
      <c r="L66" s="1009">
        <v>10</v>
      </c>
      <c r="M66" s="2"/>
      <c r="O66" s="11"/>
    </row>
    <row r="67" spans="1:17" s="3" customFormat="1" x14ac:dyDescent="0.25">
      <c r="A67" s="18"/>
      <c r="B67" s="1006" t="str">
        <f>B47</f>
        <v>General Information</v>
      </c>
      <c r="C67" s="1007"/>
      <c r="D67" s="1007"/>
      <c r="E67" s="1007"/>
      <c r="F67" s="1007"/>
      <c r="G67" s="1007"/>
      <c r="H67" s="1007"/>
      <c r="I67" s="1007"/>
      <c r="J67" s="1007"/>
      <c r="K67" s="1007"/>
      <c r="L67" s="1008"/>
      <c r="O67" s="4"/>
    </row>
    <row r="68" spans="1:17" x14ac:dyDescent="0.25">
      <c r="B68" s="590" t="str">
        <f>B48</f>
        <v>Nature of Alleged Injury (P)</v>
      </c>
      <c r="C68" s="1004" t="str">
        <f>IF('Pro 4'!C205="","-",'Pro 4'!C205)</f>
        <v>-</v>
      </c>
      <c r="D68" s="1004"/>
      <c r="E68" s="1004" t="str">
        <f>IF('Pro 4'!E205="","-",'Pro 4'!E205)</f>
        <v>-</v>
      </c>
      <c r="F68" s="1004"/>
      <c r="G68" s="1004" t="str">
        <f>IF('Pro 4'!G205="","-",'Pro 4'!G205)</f>
        <v>-</v>
      </c>
      <c r="H68" s="1004"/>
      <c r="I68" s="1004" t="str">
        <f>IF('Pro 4'!I205="","-",'Pro 4'!I205)</f>
        <v>-</v>
      </c>
      <c r="J68" s="1004"/>
      <c r="K68" s="1004" t="str">
        <f>IF('Pro 4'!K205="","-",'Pro 4'!K205)</f>
        <v>-</v>
      </c>
      <c r="L68" s="1005"/>
      <c r="M68" s="2"/>
    </row>
    <row r="69" spans="1:17" x14ac:dyDescent="0.25">
      <c r="B69" s="590"/>
      <c r="C69" s="1004"/>
      <c r="D69" s="1004"/>
      <c r="E69" s="1004"/>
      <c r="F69" s="1004"/>
      <c r="G69" s="1004"/>
      <c r="H69" s="1004"/>
      <c r="I69" s="1004"/>
      <c r="J69" s="1004"/>
      <c r="K69" s="1004"/>
      <c r="L69" s="1005"/>
      <c r="M69" s="2"/>
    </row>
    <row r="70" spans="1:17" x14ac:dyDescent="0.25">
      <c r="B70" s="590"/>
      <c r="C70" s="1004"/>
      <c r="D70" s="1004"/>
      <c r="E70" s="1004"/>
      <c r="F70" s="1004"/>
      <c r="G70" s="1004"/>
      <c r="H70" s="1004"/>
      <c r="I70" s="1004"/>
      <c r="J70" s="1004"/>
      <c r="K70" s="1004"/>
      <c r="L70" s="1005"/>
      <c r="M70" s="2"/>
    </row>
    <row r="71" spans="1:17" s="3" customFormat="1" x14ac:dyDescent="0.25">
      <c r="A71" s="12"/>
      <c r="B71" s="828" t="str">
        <f>B51</f>
        <v>Domestic Producer's Offer</v>
      </c>
      <c r="C71" s="731"/>
      <c r="D71" s="731"/>
      <c r="E71" s="731"/>
      <c r="F71" s="731"/>
      <c r="G71" s="731"/>
      <c r="H71" s="731"/>
      <c r="I71" s="731"/>
      <c r="J71" s="731"/>
      <c r="K71" s="731"/>
      <c r="L71" s="732"/>
      <c r="O71" s="4"/>
      <c r="P71" s="4"/>
      <c r="Q71" s="4"/>
    </row>
    <row r="72" spans="1:17" x14ac:dyDescent="0.25">
      <c r="B72" s="590" t="str">
        <f>B52</f>
        <v>Product Description (P)</v>
      </c>
      <c r="C72" s="1004" t="str">
        <f>IF('Pro 4'!C209="","-",'Pro 4'!C209)</f>
        <v>-</v>
      </c>
      <c r="D72" s="1004"/>
      <c r="E72" s="1004" t="str">
        <f>IF('Pro 4'!E209="","-",'Pro 4'!E209)</f>
        <v>-</v>
      </c>
      <c r="F72" s="1004"/>
      <c r="G72" s="1004" t="str">
        <f>IF('Pro 4'!G209="","-",'Pro 4'!G209)</f>
        <v>-</v>
      </c>
      <c r="H72" s="1004"/>
      <c r="I72" s="1004" t="str">
        <f>IF('Pro 4'!I209="","-",'Pro 4'!I209)</f>
        <v>-</v>
      </c>
      <c r="J72" s="1004"/>
      <c r="K72" s="1004" t="str">
        <f>IF('Pro 4'!K209="","-",'Pro 4'!K209)</f>
        <v>-</v>
      </c>
      <c r="L72" s="1005"/>
      <c r="M72" s="2"/>
    </row>
    <row r="73" spans="1:17" x14ac:dyDescent="0.25">
      <c r="B73" s="590"/>
      <c r="C73" s="1004"/>
      <c r="D73" s="1004"/>
      <c r="E73" s="1004"/>
      <c r="F73" s="1004"/>
      <c r="G73" s="1004"/>
      <c r="H73" s="1004"/>
      <c r="I73" s="1004"/>
      <c r="J73" s="1004"/>
      <c r="K73" s="1004"/>
      <c r="L73" s="1005"/>
      <c r="M73" s="2"/>
    </row>
    <row r="74" spans="1:17" x14ac:dyDescent="0.25">
      <c r="B74" s="590"/>
      <c r="C74" s="1004"/>
      <c r="D74" s="1004"/>
      <c r="E74" s="1004"/>
      <c r="F74" s="1004"/>
      <c r="G74" s="1004"/>
      <c r="H74" s="1004"/>
      <c r="I74" s="1004"/>
      <c r="J74" s="1004"/>
      <c r="K74" s="1004"/>
      <c r="L74" s="1005"/>
      <c r="M74" s="2"/>
    </row>
    <row r="75" spans="1:17" x14ac:dyDescent="0.25">
      <c r="B75" s="590"/>
      <c r="C75" s="1004"/>
      <c r="D75" s="1004"/>
      <c r="E75" s="1004"/>
      <c r="F75" s="1004"/>
      <c r="G75" s="1004"/>
      <c r="H75" s="1004"/>
      <c r="I75" s="1004"/>
      <c r="J75" s="1004"/>
      <c r="K75" s="1004"/>
      <c r="L75" s="1005"/>
      <c r="M75" s="2"/>
    </row>
    <row r="76" spans="1:17" x14ac:dyDescent="0.25">
      <c r="B76" s="590" t="str">
        <f>B56</f>
        <v>Date of Transaction (P)</v>
      </c>
      <c r="C76" s="1004" t="str">
        <f>IF('Pro 4'!C213="","-",'Pro 4'!C213)</f>
        <v>-</v>
      </c>
      <c r="D76" s="1004"/>
      <c r="E76" s="1004" t="str">
        <f>IF('Pro 4'!E213="","-",'Pro 4'!E213)</f>
        <v>-</v>
      </c>
      <c r="F76" s="1004"/>
      <c r="G76" s="1004" t="str">
        <f>IF('Pro 4'!G213="","-",'Pro 4'!G213)</f>
        <v>-</v>
      </c>
      <c r="H76" s="1004"/>
      <c r="I76" s="1004" t="str">
        <f>IF('Pro 4'!I213="","-",'Pro 4'!I213)</f>
        <v>-</v>
      </c>
      <c r="J76" s="1004"/>
      <c r="K76" s="1004" t="str">
        <f>IF('Pro 4'!K213="","-",'Pro 4'!K213)</f>
        <v>-</v>
      </c>
      <c r="L76" s="1005"/>
      <c r="M76" s="2"/>
    </row>
    <row r="77" spans="1:17" x14ac:dyDescent="0.25">
      <c r="B77" s="590"/>
      <c r="C77" s="1004"/>
      <c r="D77" s="1004"/>
      <c r="E77" s="1004"/>
      <c r="F77" s="1004"/>
      <c r="G77" s="1004"/>
      <c r="H77" s="1004"/>
      <c r="I77" s="1004"/>
      <c r="J77" s="1004"/>
      <c r="K77" s="1004"/>
      <c r="L77" s="1005"/>
      <c r="M77" s="2"/>
    </row>
    <row r="78" spans="1:17" s="3" customFormat="1" x14ac:dyDescent="0.25">
      <c r="A78" s="12"/>
      <c r="B78" s="828" t="str">
        <f>B58</f>
        <v>Competitor's Offer</v>
      </c>
      <c r="C78" s="731"/>
      <c r="D78" s="731"/>
      <c r="E78" s="731"/>
      <c r="F78" s="731"/>
      <c r="G78" s="731"/>
      <c r="H78" s="731"/>
      <c r="I78" s="731"/>
      <c r="J78" s="731"/>
      <c r="K78" s="731"/>
      <c r="L78" s="732"/>
      <c r="O78" s="4"/>
    </row>
    <row r="79" spans="1:17" x14ac:dyDescent="0.25">
      <c r="B79" s="590" t="str">
        <f>B59</f>
        <v>Product Description (P)</v>
      </c>
      <c r="C79" s="1004" t="str">
        <f>IF('Pro 4'!C227="","-",'Pro 4'!C227)</f>
        <v>-</v>
      </c>
      <c r="D79" s="1004"/>
      <c r="E79" s="1004" t="str">
        <f>IF('Pro 4'!E227="","-",'Pro 4'!E227)</f>
        <v>-</v>
      </c>
      <c r="F79" s="1004"/>
      <c r="G79" s="1004" t="str">
        <f>IF('Pro 4'!G227="","-",'Pro 4'!G227)</f>
        <v>-</v>
      </c>
      <c r="H79" s="1004"/>
      <c r="I79" s="1004" t="str">
        <f>IF('Pro 4'!I227="","-",'Pro 4'!I227)</f>
        <v>-</v>
      </c>
      <c r="J79" s="1004"/>
      <c r="K79" s="1004" t="str">
        <f>IF('Pro 4'!K227="","-",'Pro 4'!K227)</f>
        <v>-</v>
      </c>
      <c r="L79" s="1005"/>
      <c r="M79" s="2"/>
    </row>
    <row r="80" spans="1:17" x14ac:dyDescent="0.25">
      <c r="B80" s="590"/>
      <c r="C80" s="1004"/>
      <c r="D80" s="1004"/>
      <c r="E80" s="1004"/>
      <c r="F80" s="1004"/>
      <c r="G80" s="1004"/>
      <c r="H80" s="1004"/>
      <c r="I80" s="1004"/>
      <c r="J80" s="1004"/>
      <c r="K80" s="1004"/>
      <c r="L80" s="1005"/>
      <c r="M80" s="2"/>
    </row>
    <row r="81" spans="1:12" s="2" customFormat="1" x14ac:dyDescent="0.25">
      <c r="A81" s="12"/>
      <c r="B81" s="590"/>
      <c r="C81" s="1004"/>
      <c r="D81" s="1004"/>
      <c r="E81" s="1004"/>
      <c r="F81" s="1004"/>
      <c r="G81" s="1004"/>
      <c r="H81" s="1004"/>
      <c r="I81" s="1004"/>
      <c r="J81" s="1004"/>
      <c r="K81" s="1004"/>
      <c r="L81" s="1005"/>
    </row>
    <row r="82" spans="1:12" s="2" customFormat="1" x14ac:dyDescent="0.25">
      <c r="A82" s="12"/>
      <c r="B82" s="590"/>
      <c r="C82" s="1004"/>
      <c r="D82" s="1004"/>
      <c r="E82" s="1004"/>
      <c r="F82" s="1004"/>
      <c r="G82" s="1004"/>
      <c r="H82" s="1004"/>
      <c r="I82" s="1004"/>
      <c r="J82" s="1004"/>
      <c r="K82" s="1004"/>
      <c r="L82" s="1005"/>
    </row>
    <row r="83" spans="1:12" s="2" customFormat="1" x14ac:dyDescent="0.25">
      <c r="A83" s="12"/>
      <c r="B83" s="622" t="str">
        <f>B63</f>
        <v>Country of Origin (P)</v>
      </c>
      <c r="C83" s="999" t="str">
        <f>IF('Pro 4'!C231="","-",'Pro 4'!C231)</f>
        <v>-</v>
      </c>
      <c r="D83" s="999"/>
      <c r="E83" s="999" t="str">
        <f>IF('Pro 4'!E231="","-",'Pro 4'!E231)</f>
        <v>-</v>
      </c>
      <c r="F83" s="999"/>
      <c r="G83" s="999" t="str">
        <f>IF('Pro 4'!G231="","-",'Pro 4'!G231)</f>
        <v>-</v>
      </c>
      <c r="H83" s="999"/>
      <c r="I83" s="999" t="str">
        <f>IF('Pro 4'!I231="","-",'Pro 4'!I231)</f>
        <v>-</v>
      </c>
      <c r="J83" s="999"/>
      <c r="K83" s="999" t="str">
        <f>IF('Pro 4'!K231="","-",'Pro 4'!K231)</f>
        <v>-</v>
      </c>
      <c r="L83" s="1002"/>
    </row>
    <row r="84" spans="1:12" s="2" customFormat="1" x14ac:dyDescent="0.25">
      <c r="A84" s="12"/>
      <c r="B84" s="626"/>
      <c r="C84" s="1000"/>
      <c r="D84" s="1000"/>
      <c r="E84" s="1000"/>
      <c r="F84" s="1000"/>
      <c r="G84" s="1000"/>
      <c r="H84" s="1000"/>
      <c r="I84" s="1000"/>
      <c r="J84" s="1000"/>
      <c r="K84" s="1000"/>
      <c r="L84" s="1003"/>
    </row>
    <row r="85" spans="1:12" s="2" customFormat="1" x14ac:dyDescent="0.25">
      <c r="A85" s="12"/>
      <c r="B85" s="176"/>
      <c r="C85" s="177"/>
      <c r="D85" s="177"/>
      <c r="E85" s="177"/>
      <c r="F85" s="177"/>
      <c r="G85" s="177"/>
      <c r="H85" s="177"/>
      <c r="I85" s="177"/>
      <c r="J85" s="177"/>
      <c r="K85" s="177"/>
      <c r="L85" s="178"/>
    </row>
  </sheetData>
  <sheetProtection algorithmName="SHA-512" hashValue="SswXBSTMqrcU/7cgNXN93oMPQWrdR46A7agCzdn5qQINHTLNcdmShI9v5d0UZyrz9l4YneGQoObBzLN/4FgRJQ==" saltValue="E0u7jIzyQ0T7d2dXwJM83A==" spinCount="100000" sheet="1" objects="1" scenarios="1" selectLockedCells="1"/>
  <mergeCells count="101">
    <mergeCell ref="B38:D38"/>
    <mergeCell ref="K48:L50"/>
    <mergeCell ref="B47:L47"/>
    <mergeCell ref="E46:F46"/>
    <mergeCell ref="G46:H46"/>
    <mergeCell ref="I46:J46"/>
    <mergeCell ref="K46:L46"/>
    <mergeCell ref="C46:D46"/>
    <mergeCell ref="B48:B50"/>
    <mergeCell ref="C48:D50"/>
    <mergeCell ref="E48:F50"/>
    <mergeCell ref="G48:H50"/>
    <mergeCell ref="I48:J50"/>
    <mergeCell ref="K56:L57"/>
    <mergeCell ref="C52:D55"/>
    <mergeCell ref="E52:F55"/>
    <mergeCell ref="B52:B55"/>
    <mergeCell ref="G52:H55"/>
    <mergeCell ref="K59:L62"/>
    <mergeCell ref="B41:L41"/>
    <mergeCell ref="B39:D39"/>
    <mergeCell ref="B43:L44"/>
    <mergeCell ref="B51:L51"/>
    <mergeCell ref="I52:J55"/>
    <mergeCell ref="G59:H62"/>
    <mergeCell ref="I59:J62"/>
    <mergeCell ref="K52:L55"/>
    <mergeCell ref="B56:B57"/>
    <mergeCell ref="C56:D57"/>
    <mergeCell ref="E56:F57"/>
    <mergeCell ref="G56:H57"/>
    <mergeCell ref="I56:J57"/>
    <mergeCell ref="B4:L4"/>
    <mergeCell ref="B5:L5"/>
    <mergeCell ref="B6:L6"/>
    <mergeCell ref="B36:D36"/>
    <mergeCell ref="B37:D37"/>
    <mergeCell ref="B8:L8"/>
    <mergeCell ref="B9:L9"/>
    <mergeCell ref="B12:I12"/>
    <mergeCell ref="B13:I13"/>
    <mergeCell ref="B14:I14"/>
    <mergeCell ref="B15:I15"/>
    <mergeCell ref="B28:L28"/>
    <mergeCell ref="B17:L17"/>
    <mergeCell ref="B19:L26"/>
    <mergeCell ref="I33:I34"/>
    <mergeCell ref="B30:L31"/>
    <mergeCell ref="B35:D35"/>
    <mergeCell ref="E33:E34"/>
    <mergeCell ref="F33:F34"/>
    <mergeCell ref="G33:G34"/>
    <mergeCell ref="H33:H34"/>
    <mergeCell ref="G76:H77"/>
    <mergeCell ref="I76:J77"/>
    <mergeCell ref="B58:L58"/>
    <mergeCell ref="B72:B75"/>
    <mergeCell ref="C72:D75"/>
    <mergeCell ref="E72:F75"/>
    <mergeCell ref="G72:H75"/>
    <mergeCell ref="I72:J75"/>
    <mergeCell ref="K72:L75"/>
    <mergeCell ref="B67:L67"/>
    <mergeCell ref="B68:B70"/>
    <mergeCell ref="C68:D70"/>
    <mergeCell ref="E68:F70"/>
    <mergeCell ref="G68:H70"/>
    <mergeCell ref="K63:L64"/>
    <mergeCell ref="B63:B64"/>
    <mergeCell ref="C63:D64"/>
    <mergeCell ref="E63:F64"/>
    <mergeCell ref="I68:J70"/>
    <mergeCell ref="K68:L70"/>
    <mergeCell ref="B59:B62"/>
    <mergeCell ref="C59:D62"/>
    <mergeCell ref="E59:F62"/>
    <mergeCell ref="K66:L66"/>
    <mergeCell ref="G63:H64"/>
    <mergeCell ref="I63:J64"/>
    <mergeCell ref="B71:L71"/>
    <mergeCell ref="C66:D66"/>
    <mergeCell ref="E66:F66"/>
    <mergeCell ref="G66:H66"/>
    <mergeCell ref="I66:J66"/>
    <mergeCell ref="B83:B84"/>
    <mergeCell ref="C83:D84"/>
    <mergeCell ref="E83:F84"/>
    <mergeCell ref="G83:H84"/>
    <mergeCell ref="I83:J84"/>
    <mergeCell ref="K83:L84"/>
    <mergeCell ref="K76:L77"/>
    <mergeCell ref="B78:L78"/>
    <mergeCell ref="B79:B82"/>
    <mergeCell ref="C79:D82"/>
    <mergeCell ref="E79:F82"/>
    <mergeCell ref="G79:H82"/>
    <mergeCell ref="I79:J82"/>
    <mergeCell ref="K79:L82"/>
    <mergeCell ref="B76:B77"/>
    <mergeCell ref="C76:D77"/>
    <mergeCell ref="E76:F77"/>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3527A223-705C-4CA3-9AA8-32D0E9876FC0}">
      <formula1>1000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4" min="1" max="1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AA1FA08-A491-4466-90D1-7E211E3418E9}">
          <x14:formula1>
            <xm:f>Variables!$D$54:$D$55</xm:f>
          </x14:formula1>
          <xm:sqref>J12:J15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BA3C8-16B6-4E7C-8A43-9C2A3CA0424F}">
  <sheetPr>
    <tabColor rgb="FFFFC000"/>
  </sheetPr>
  <dimension ref="A1:E112"/>
  <sheetViews>
    <sheetView zoomScale="80" zoomScaleNormal="80" workbookViewId="0">
      <selection activeCell="A3" sqref="A3"/>
    </sheetView>
  </sheetViews>
  <sheetFormatPr defaultColWidth="9.140625" defaultRowHeight="12.75" x14ac:dyDescent="0.2"/>
  <cols>
    <col min="1" max="1" width="9.140625" style="42"/>
    <col min="2" max="2" width="11.5703125" style="42" bestFit="1" customWidth="1"/>
    <col min="3" max="3" width="14.28515625" style="42" customWidth="1"/>
    <col min="4" max="4" width="208.28515625" style="42" customWidth="1"/>
    <col min="5" max="16384" width="9.140625" style="42"/>
  </cols>
  <sheetData>
    <row r="1" spans="1:5" x14ac:dyDescent="0.2">
      <c r="A1" s="570" t="s">
        <v>1072</v>
      </c>
      <c r="B1" s="570" t="s">
        <v>1073</v>
      </c>
      <c r="C1" s="570" t="s">
        <v>1074</v>
      </c>
      <c r="D1" s="570" t="s">
        <v>1075</v>
      </c>
    </row>
    <row r="2" spans="1:5" s="571" customFormat="1" x14ac:dyDescent="0.2">
      <c r="A2" s="98">
        <f>Intro!$E$101</f>
        <v>0</v>
      </c>
      <c r="B2" s="86" t="s">
        <v>1076</v>
      </c>
      <c r="C2" s="86"/>
      <c r="D2" s="86"/>
    </row>
    <row r="3" spans="1:5" s="571" customFormat="1" x14ac:dyDescent="0.2">
      <c r="A3" s="98">
        <f>A2</f>
        <v>0</v>
      </c>
      <c r="B3" s="572" t="s">
        <v>843</v>
      </c>
      <c r="C3" s="42" t="s">
        <v>1077</v>
      </c>
      <c r="D3" s="573">
        <f>'Grades-Nuances'!$B$17</f>
        <v>0</v>
      </c>
    </row>
    <row r="4" spans="1:5" x14ac:dyDescent="0.2">
      <c r="A4" s="98">
        <f>A2</f>
        <v>0</v>
      </c>
      <c r="B4" s="572" t="s">
        <v>845</v>
      </c>
      <c r="C4" s="42" t="s">
        <v>1078</v>
      </c>
      <c r="D4" s="573">
        <f>'Grades-Nuances'!$C$17</f>
        <v>0</v>
      </c>
    </row>
    <row r="5" spans="1:5" x14ac:dyDescent="0.2">
      <c r="A5" s="98">
        <f t="shared" ref="A5:A68" si="0">A4</f>
        <v>0</v>
      </c>
      <c r="B5" s="572" t="s">
        <v>847</v>
      </c>
      <c r="C5" s="42" t="s">
        <v>1079</v>
      </c>
      <c r="D5" s="573">
        <f>'Grades-Nuances'!$D$17</f>
        <v>0</v>
      </c>
    </row>
    <row r="6" spans="1:5" x14ac:dyDescent="0.2">
      <c r="A6" s="98">
        <f t="shared" si="0"/>
        <v>0</v>
      </c>
      <c r="B6" s="572" t="s">
        <v>849</v>
      </c>
      <c r="C6" s="42" t="s">
        <v>1080</v>
      </c>
      <c r="D6" s="573">
        <f>'Grades-Nuances'!$E$17</f>
        <v>0</v>
      </c>
      <c r="E6" s="573"/>
    </row>
    <row r="7" spans="1:5" x14ac:dyDescent="0.2">
      <c r="A7" s="98">
        <f t="shared" si="0"/>
        <v>0</v>
      </c>
      <c r="B7" s="572" t="s">
        <v>851</v>
      </c>
      <c r="C7" s="42" t="s">
        <v>1081</v>
      </c>
      <c r="D7" s="88">
        <f>'Grades-Nuances'!$F$17</f>
        <v>0</v>
      </c>
      <c r="E7" s="573"/>
    </row>
    <row r="8" spans="1:5" x14ac:dyDescent="0.2">
      <c r="A8" s="98">
        <f t="shared" si="0"/>
        <v>0</v>
      </c>
      <c r="B8" s="572" t="s">
        <v>853</v>
      </c>
      <c r="C8" s="42" t="s">
        <v>1082</v>
      </c>
      <c r="D8" s="88">
        <f>'Grades-Nuances'!$G$17</f>
        <v>0</v>
      </c>
      <c r="E8" s="573"/>
    </row>
    <row r="9" spans="1:5" x14ac:dyDescent="0.2">
      <c r="A9" s="98">
        <f t="shared" si="0"/>
        <v>0</v>
      </c>
      <c r="B9" s="572" t="s">
        <v>1014</v>
      </c>
      <c r="C9" s="42" t="s">
        <v>1083</v>
      </c>
      <c r="D9" s="88">
        <f>'Grades-Nuances'!$H$17</f>
        <v>0</v>
      </c>
      <c r="E9" s="573"/>
    </row>
    <row r="10" spans="1:5" x14ac:dyDescent="0.2">
      <c r="A10" s="98">
        <f t="shared" si="0"/>
        <v>0</v>
      </c>
      <c r="B10" s="572" t="s">
        <v>1015</v>
      </c>
      <c r="C10" s="42" t="s">
        <v>1084</v>
      </c>
      <c r="D10" s="88">
        <f>'Grades-Nuances'!$I$17</f>
        <v>0</v>
      </c>
      <c r="E10" s="573"/>
    </row>
    <row r="11" spans="1:5" x14ac:dyDescent="0.2">
      <c r="A11" s="98">
        <f t="shared" si="0"/>
        <v>0</v>
      </c>
      <c r="B11" s="572" t="s">
        <v>854</v>
      </c>
      <c r="C11" s="42" t="s">
        <v>1085</v>
      </c>
      <c r="D11" s="88">
        <f>'Grades-Nuances'!$J$17</f>
        <v>0</v>
      </c>
      <c r="E11" s="573"/>
    </row>
    <row r="12" spans="1:5" ht="12.75" customHeight="1" x14ac:dyDescent="0.2">
      <c r="A12" s="98">
        <f t="shared" si="0"/>
        <v>0</v>
      </c>
      <c r="B12" s="572" t="s">
        <v>1086</v>
      </c>
      <c r="C12" s="42" t="s">
        <v>1087</v>
      </c>
      <c r="D12" s="88">
        <f>'Grades-Nuances'!$L$17</f>
        <v>0</v>
      </c>
      <c r="E12" s="573"/>
    </row>
    <row r="13" spans="1:5" ht="12.75" customHeight="1" x14ac:dyDescent="0.2">
      <c r="A13" s="98">
        <f t="shared" si="0"/>
        <v>0</v>
      </c>
      <c r="B13" s="572" t="s">
        <v>843</v>
      </c>
      <c r="C13" s="42" t="s">
        <v>1088</v>
      </c>
      <c r="D13" s="573">
        <f>'Grades-Nuances'!$B$21</f>
        <v>0</v>
      </c>
      <c r="E13" s="573"/>
    </row>
    <row r="14" spans="1:5" x14ac:dyDescent="0.2">
      <c r="A14" s="98">
        <f t="shared" si="0"/>
        <v>0</v>
      </c>
      <c r="B14" s="572" t="s">
        <v>845</v>
      </c>
      <c r="C14" s="42" t="s">
        <v>1089</v>
      </c>
      <c r="D14" s="573">
        <f>'Grades-Nuances'!$C$21</f>
        <v>0</v>
      </c>
      <c r="E14" s="573"/>
    </row>
    <row r="15" spans="1:5" x14ac:dyDescent="0.2">
      <c r="A15" s="98">
        <f t="shared" si="0"/>
        <v>0</v>
      </c>
      <c r="B15" s="572" t="s">
        <v>847</v>
      </c>
      <c r="C15" s="42" t="s">
        <v>1090</v>
      </c>
      <c r="D15" s="573">
        <f>'Grades-Nuances'!$D$21</f>
        <v>0</v>
      </c>
    </row>
    <row r="16" spans="1:5" x14ac:dyDescent="0.2">
      <c r="A16" s="98">
        <f t="shared" si="0"/>
        <v>0</v>
      </c>
      <c r="B16" s="572" t="s">
        <v>849</v>
      </c>
      <c r="C16" s="42" t="s">
        <v>1091</v>
      </c>
      <c r="D16" s="573">
        <f>'Grades-Nuances'!$E$21</f>
        <v>0</v>
      </c>
    </row>
    <row r="17" spans="1:4" x14ac:dyDescent="0.2">
      <c r="A17" s="98">
        <f t="shared" si="0"/>
        <v>0</v>
      </c>
      <c r="B17" s="572" t="s">
        <v>851</v>
      </c>
      <c r="C17" s="42" t="s">
        <v>1092</v>
      </c>
      <c r="D17" s="88">
        <f>'Grades-Nuances'!$F$21</f>
        <v>0</v>
      </c>
    </row>
    <row r="18" spans="1:4" x14ac:dyDescent="0.2">
      <c r="A18" s="98">
        <f t="shared" si="0"/>
        <v>0</v>
      </c>
      <c r="B18" s="572" t="s">
        <v>853</v>
      </c>
      <c r="C18" s="42" t="s">
        <v>1093</v>
      </c>
      <c r="D18" s="88">
        <f>'Grades-Nuances'!$G$21</f>
        <v>0</v>
      </c>
    </row>
    <row r="19" spans="1:4" x14ac:dyDescent="0.2">
      <c r="A19" s="98">
        <f t="shared" si="0"/>
        <v>0</v>
      </c>
      <c r="B19" s="572" t="s">
        <v>1014</v>
      </c>
      <c r="C19" s="42" t="s">
        <v>1094</v>
      </c>
      <c r="D19" s="88">
        <f>'Grades-Nuances'!$H$21</f>
        <v>0</v>
      </c>
    </row>
    <row r="20" spans="1:4" x14ac:dyDescent="0.2">
      <c r="A20" s="98">
        <f t="shared" si="0"/>
        <v>0</v>
      </c>
      <c r="B20" s="572" t="s">
        <v>1015</v>
      </c>
      <c r="C20" s="42" t="s">
        <v>1095</v>
      </c>
      <c r="D20" s="88">
        <f>'Grades-Nuances'!$I$21</f>
        <v>0</v>
      </c>
    </row>
    <row r="21" spans="1:4" x14ac:dyDescent="0.2">
      <c r="A21" s="98">
        <f t="shared" si="0"/>
        <v>0</v>
      </c>
      <c r="B21" s="572" t="s">
        <v>854</v>
      </c>
      <c r="C21" s="42" t="s">
        <v>1096</v>
      </c>
      <c r="D21" s="88">
        <f>'Grades-Nuances'!$J$21</f>
        <v>0</v>
      </c>
    </row>
    <row r="22" spans="1:4" x14ac:dyDescent="0.2">
      <c r="A22" s="98">
        <f t="shared" si="0"/>
        <v>0</v>
      </c>
      <c r="B22" s="572" t="s">
        <v>1086</v>
      </c>
      <c r="C22" s="42" t="s">
        <v>1097</v>
      </c>
      <c r="D22" s="88">
        <f>'Grades-Nuances'!$L$21</f>
        <v>0</v>
      </c>
    </row>
    <row r="23" spans="1:4" x14ac:dyDescent="0.2">
      <c r="A23" s="98">
        <f t="shared" si="0"/>
        <v>0</v>
      </c>
      <c r="B23" s="572" t="s">
        <v>843</v>
      </c>
      <c r="C23" s="42" t="s">
        <v>1098</v>
      </c>
      <c r="D23" s="573">
        <f>'Grades-Nuances'!$B$25</f>
        <v>0</v>
      </c>
    </row>
    <row r="24" spans="1:4" x14ac:dyDescent="0.2">
      <c r="A24" s="98">
        <f t="shared" si="0"/>
        <v>0</v>
      </c>
      <c r="B24" s="572" t="s">
        <v>845</v>
      </c>
      <c r="C24" s="42" t="s">
        <v>1099</v>
      </c>
      <c r="D24" s="573">
        <f>'Grades-Nuances'!$C$25</f>
        <v>0</v>
      </c>
    </row>
    <row r="25" spans="1:4" x14ac:dyDescent="0.2">
      <c r="A25" s="98">
        <f t="shared" si="0"/>
        <v>0</v>
      </c>
      <c r="B25" s="572" t="s">
        <v>847</v>
      </c>
      <c r="C25" s="42" t="s">
        <v>1100</v>
      </c>
      <c r="D25" s="573">
        <f>'Grades-Nuances'!$D$25</f>
        <v>0</v>
      </c>
    </row>
    <row r="26" spans="1:4" x14ac:dyDescent="0.2">
      <c r="A26" s="98">
        <f t="shared" si="0"/>
        <v>0</v>
      </c>
      <c r="B26" s="572" t="s">
        <v>849</v>
      </c>
      <c r="C26" s="42" t="s">
        <v>1101</v>
      </c>
      <c r="D26" s="573">
        <f>'Grades-Nuances'!$E$25</f>
        <v>0</v>
      </c>
    </row>
    <row r="27" spans="1:4" x14ac:dyDescent="0.2">
      <c r="A27" s="98">
        <f t="shared" si="0"/>
        <v>0</v>
      </c>
      <c r="B27" s="572" t="s">
        <v>851</v>
      </c>
      <c r="C27" s="42" t="s">
        <v>1102</v>
      </c>
      <c r="D27" s="88">
        <f>'Grades-Nuances'!$F$25</f>
        <v>0</v>
      </c>
    </row>
    <row r="28" spans="1:4" x14ac:dyDescent="0.2">
      <c r="A28" s="98">
        <f t="shared" si="0"/>
        <v>0</v>
      </c>
      <c r="B28" s="572" t="s">
        <v>853</v>
      </c>
      <c r="C28" s="42" t="s">
        <v>1103</v>
      </c>
      <c r="D28" s="88">
        <f>'Grades-Nuances'!$G$25</f>
        <v>0</v>
      </c>
    </row>
    <row r="29" spans="1:4" x14ac:dyDescent="0.2">
      <c r="A29" s="98">
        <f t="shared" si="0"/>
        <v>0</v>
      </c>
      <c r="B29" s="572" t="s">
        <v>1014</v>
      </c>
      <c r="C29" s="42" t="s">
        <v>1104</v>
      </c>
      <c r="D29" s="88">
        <f>'Grades-Nuances'!$H$25</f>
        <v>0</v>
      </c>
    </row>
    <row r="30" spans="1:4" x14ac:dyDescent="0.2">
      <c r="A30" s="98">
        <f t="shared" si="0"/>
        <v>0</v>
      </c>
      <c r="B30" s="572" t="s">
        <v>1015</v>
      </c>
      <c r="C30" s="42" t="s">
        <v>1105</v>
      </c>
      <c r="D30" s="88">
        <f>'Grades-Nuances'!$I$25</f>
        <v>0</v>
      </c>
    </row>
    <row r="31" spans="1:4" x14ac:dyDescent="0.2">
      <c r="A31" s="98">
        <f t="shared" si="0"/>
        <v>0</v>
      </c>
      <c r="B31" s="572" t="s">
        <v>854</v>
      </c>
      <c r="C31" s="42" t="s">
        <v>1106</v>
      </c>
      <c r="D31" s="88">
        <f>'Grades-Nuances'!$J$25</f>
        <v>0</v>
      </c>
    </row>
    <row r="32" spans="1:4" x14ac:dyDescent="0.2">
      <c r="A32" s="98">
        <f t="shared" si="0"/>
        <v>0</v>
      </c>
      <c r="B32" s="572" t="s">
        <v>1086</v>
      </c>
      <c r="C32" s="42" t="s">
        <v>1107</v>
      </c>
      <c r="D32" s="88">
        <f>'Grades-Nuances'!$L$25</f>
        <v>0</v>
      </c>
    </row>
    <row r="33" spans="1:4" x14ac:dyDescent="0.2">
      <c r="A33" s="98">
        <f t="shared" si="0"/>
        <v>0</v>
      </c>
      <c r="B33" s="572" t="s">
        <v>843</v>
      </c>
      <c r="C33" s="42" t="s">
        <v>1108</v>
      </c>
      <c r="D33" s="573">
        <f>'Grades-Nuances'!$B$29</f>
        <v>0</v>
      </c>
    </row>
    <row r="34" spans="1:4" x14ac:dyDescent="0.2">
      <c r="A34" s="98">
        <f t="shared" si="0"/>
        <v>0</v>
      </c>
      <c r="B34" s="572" t="s">
        <v>845</v>
      </c>
      <c r="C34" s="42" t="s">
        <v>1109</v>
      </c>
      <c r="D34" s="573">
        <f>'Grades-Nuances'!$C$29</f>
        <v>0</v>
      </c>
    </row>
    <row r="35" spans="1:4" x14ac:dyDescent="0.2">
      <c r="A35" s="98">
        <f t="shared" si="0"/>
        <v>0</v>
      </c>
      <c r="B35" s="572" t="s">
        <v>847</v>
      </c>
      <c r="C35" s="42" t="s">
        <v>1110</v>
      </c>
      <c r="D35" s="573">
        <f>'Grades-Nuances'!$D$29</f>
        <v>0</v>
      </c>
    </row>
    <row r="36" spans="1:4" x14ac:dyDescent="0.2">
      <c r="A36" s="98">
        <f t="shared" si="0"/>
        <v>0</v>
      </c>
      <c r="B36" s="572" t="s">
        <v>849</v>
      </c>
      <c r="C36" s="42" t="s">
        <v>1111</v>
      </c>
      <c r="D36" s="573">
        <f>'Grades-Nuances'!$E$29</f>
        <v>0</v>
      </c>
    </row>
    <row r="37" spans="1:4" x14ac:dyDescent="0.2">
      <c r="A37" s="98">
        <f t="shared" si="0"/>
        <v>0</v>
      </c>
      <c r="B37" s="572" t="s">
        <v>851</v>
      </c>
      <c r="C37" s="42" t="s">
        <v>1112</v>
      </c>
      <c r="D37" s="88">
        <f>'Grades-Nuances'!$F$29</f>
        <v>0</v>
      </c>
    </row>
    <row r="38" spans="1:4" x14ac:dyDescent="0.2">
      <c r="A38" s="98">
        <f t="shared" si="0"/>
        <v>0</v>
      </c>
      <c r="B38" s="572" t="s">
        <v>853</v>
      </c>
      <c r="C38" s="42" t="s">
        <v>1113</v>
      </c>
      <c r="D38" s="88">
        <f>'Grades-Nuances'!$G$29</f>
        <v>0</v>
      </c>
    </row>
    <row r="39" spans="1:4" x14ac:dyDescent="0.2">
      <c r="A39" s="98">
        <f t="shared" si="0"/>
        <v>0</v>
      </c>
      <c r="B39" s="572" t="s">
        <v>1014</v>
      </c>
      <c r="C39" s="42" t="s">
        <v>1114</v>
      </c>
      <c r="D39" s="88">
        <f>'Grades-Nuances'!$H$29</f>
        <v>0</v>
      </c>
    </row>
    <row r="40" spans="1:4" x14ac:dyDescent="0.2">
      <c r="A40" s="98">
        <f t="shared" si="0"/>
        <v>0</v>
      </c>
      <c r="B40" s="572" t="s">
        <v>1015</v>
      </c>
      <c r="C40" s="42" t="s">
        <v>1115</v>
      </c>
      <c r="D40" s="88">
        <f>'Grades-Nuances'!$I$29</f>
        <v>0</v>
      </c>
    </row>
    <row r="41" spans="1:4" x14ac:dyDescent="0.2">
      <c r="A41" s="98">
        <f t="shared" si="0"/>
        <v>0</v>
      </c>
      <c r="B41" s="572" t="s">
        <v>854</v>
      </c>
      <c r="C41" s="42" t="s">
        <v>1116</v>
      </c>
      <c r="D41" s="88">
        <f>'Grades-Nuances'!$J$29</f>
        <v>0</v>
      </c>
    </row>
    <row r="42" spans="1:4" x14ac:dyDescent="0.2">
      <c r="A42" s="98">
        <f t="shared" si="0"/>
        <v>0</v>
      </c>
      <c r="B42" s="572" t="s">
        <v>1086</v>
      </c>
      <c r="C42" s="42" t="s">
        <v>1117</v>
      </c>
      <c r="D42" s="88">
        <f>'Grades-Nuances'!$L$29</f>
        <v>0</v>
      </c>
    </row>
    <row r="43" spans="1:4" x14ac:dyDescent="0.2">
      <c r="A43" s="98">
        <f t="shared" si="0"/>
        <v>0</v>
      </c>
      <c r="B43" s="572" t="s">
        <v>843</v>
      </c>
      <c r="C43" s="42" t="s">
        <v>1118</v>
      </c>
      <c r="D43" s="573">
        <f>'Grades-Nuances'!$B$33</f>
        <v>0</v>
      </c>
    </row>
    <row r="44" spans="1:4" x14ac:dyDescent="0.2">
      <c r="A44" s="98">
        <f t="shared" si="0"/>
        <v>0</v>
      </c>
      <c r="B44" s="572" t="s">
        <v>845</v>
      </c>
      <c r="C44" s="42" t="s">
        <v>1119</v>
      </c>
      <c r="D44" s="573">
        <f>'Grades-Nuances'!$C$33</f>
        <v>0</v>
      </c>
    </row>
    <row r="45" spans="1:4" x14ac:dyDescent="0.2">
      <c r="A45" s="98">
        <f t="shared" si="0"/>
        <v>0</v>
      </c>
      <c r="B45" s="572" t="s">
        <v>847</v>
      </c>
      <c r="C45" s="42" t="s">
        <v>1120</v>
      </c>
      <c r="D45" s="573">
        <f>'Grades-Nuances'!$D$33</f>
        <v>0</v>
      </c>
    </row>
    <row r="46" spans="1:4" x14ac:dyDescent="0.2">
      <c r="A46" s="98">
        <f t="shared" si="0"/>
        <v>0</v>
      </c>
      <c r="B46" s="572" t="s">
        <v>849</v>
      </c>
      <c r="C46" s="42" t="s">
        <v>1121</v>
      </c>
      <c r="D46" s="573">
        <f>'Grades-Nuances'!$E$33</f>
        <v>0</v>
      </c>
    </row>
    <row r="47" spans="1:4" x14ac:dyDescent="0.2">
      <c r="A47" s="98">
        <f t="shared" si="0"/>
        <v>0</v>
      </c>
      <c r="B47" s="572" t="s">
        <v>851</v>
      </c>
      <c r="C47" s="42" t="s">
        <v>1122</v>
      </c>
      <c r="D47" s="88">
        <f>'Grades-Nuances'!$F$33</f>
        <v>0</v>
      </c>
    </row>
    <row r="48" spans="1:4" x14ac:dyDescent="0.2">
      <c r="A48" s="98">
        <f t="shared" si="0"/>
        <v>0</v>
      </c>
      <c r="B48" s="572" t="s">
        <v>853</v>
      </c>
      <c r="C48" s="42" t="s">
        <v>1123</v>
      </c>
      <c r="D48" s="88">
        <f>'Grades-Nuances'!$G$33</f>
        <v>0</v>
      </c>
    </row>
    <row r="49" spans="1:4" x14ac:dyDescent="0.2">
      <c r="A49" s="98">
        <f t="shared" si="0"/>
        <v>0</v>
      </c>
      <c r="B49" s="572" t="s">
        <v>1014</v>
      </c>
      <c r="C49" s="42" t="s">
        <v>1124</v>
      </c>
      <c r="D49" s="88">
        <f>'Grades-Nuances'!$H$33</f>
        <v>0</v>
      </c>
    </row>
    <row r="50" spans="1:4" x14ac:dyDescent="0.2">
      <c r="A50" s="98">
        <f t="shared" si="0"/>
        <v>0</v>
      </c>
      <c r="B50" s="572" t="s">
        <v>1015</v>
      </c>
      <c r="C50" s="42" t="s">
        <v>1125</v>
      </c>
      <c r="D50" s="88">
        <f>'Grades-Nuances'!$I$33</f>
        <v>0</v>
      </c>
    </row>
    <row r="51" spans="1:4" x14ac:dyDescent="0.2">
      <c r="A51" s="98">
        <f t="shared" si="0"/>
        <v>0</v>
      </c>
      <c r="B51" s="572" t="s">
        <v>854</v>
      </c>
      <c r="C51" s="42" t="s">
        <v>1126</v>
      </c>
      <c r="D51" s="88">
        <f>'Grades-Nuances'!$J$33</f>
        <v>0</v>
      </c>
    </row>
    <row r="52" spans="1:4" x14ac:dyDescent="0.2">
      <c r="A52" s="98">
        <f t="shared" si="0"/>
        <v>0</v>
      </c>
      <c r="B52" s="572" t="s">
        <v>1086</v>
      </c>
      <c r="C52" s="42" t="s">
        <v>1127</v>
      </c>
      <c r="D52" s="88">
        <f>'Grades-Nuances'!$L$33</f>
        <v>0</v>
      </c>
    </row>
    <row r="53" spans="1:4" x14ac:dyDescent="0.2">
      <c r="A53" s="98">
        <f t="shared" si="0"/>
        <v>0</v>
      </c>
      <c r="B53" s="572" t="s">
        <v>843</v>
      </c>
      <c r="C53" s="42" t="s">
        <v>1128</v>
      </c>
      <c r="D53" s="573">
        <f>'Grades-Nuances'!$B$37</f>
        <v>0</v>
      </c>
    </row>
    <row r="54" spans="1:4" x14ac:dyDescent="0.2">
      <c r="A54" s="98">
        <f t="shared" si="0"/>
        <v>0</v>
      </c>
      <c r="B54" s="572" t="s">
        <v>845</v>
      </c>
      <c r="C54" s="42" t="s">
        <v>1129</v>
      </c>
      <c r="D54" s="573">
        <f>'Grades-Nuances'!$C$37</f>
        <v>0</v>
      </c>
    </row>
    <row r="55" spans="1:4" x14ac:dyDescent="0.2">
      <c r="A55" s="98">
        <f t="shared" si="0"/>
        <v>0</v>
      </c>
      <c r="B55" s="572" t="s">
        <v>847</v>
      </c>
      <c r="C55" s="42" t="s">
        <v>1130</v>
      </c>
      <c r="D55" s="573">
        <f>'Grades-Nuances'!$D$37</f>
        <v>0</v>
      </c>
    </row>
    <row r="56" spans="1:4" x14ac:dyDescent="0.2">
      <c r="A56" s="98">
        <f t="shared" si="0"/>
        <v>0</v>
      </c>
      <c r="B56" s="572" t="s">
        <v>849</v>
      </c>
      <c r="C56" s="42" t="s">
        <v>1131</v>
      </c>
      <c r="D56" s="573">
        <f>'Grades-Nuances'!$E$37</f>
        <v>0</v>
      </c>
    </row>
    <row r="57" spans="1:4" x14ac:dyDescent="0.2">
      <c r="A57" s="98">
        <f t="shared" si="0"/>
        <v>0</v>
      </c>
      <c r="B57" s="572" t="s">
        <v>851</v>
      </c>
      <c r="C57" s="42" t="s">
        <v>1132</v>
      </c>
      <c r="D57" s="88">
        <f>'Grades-Nuances'!$F$37</f>
        <v>0</v>
      </c>
    </row>
    <row r="58" spans="1:4" x14ac:dyDescent="0.2">
      <c r="A58" s="98">
        <f t="shared" si="0"/>
        <v>0</v>
      </c>
      <c r="B58" s="572" t="s">
        <v>853</v>
      </c>
      <c r="C58" s="42" t="s">
        <v>1133</v>
      </c>
      <c r="D58" s="88">
        <f>'Grades-Nuances'!$G$37</f>
        <v>0</v>
      </c>
    </row>
    <row r="59" spans="1:4" x14ac:dyDescent="0.2">
      <c r="A59" s="98">
        <f t="shared" si="0"/>
        <v>0</v>
      </c>
      <c r="B59" s="572" t="s">
        <v>1014</v>
      </c>
      <c r="C59" s="42" t="s">
        <v>1134</v>
      </c>
      <c r="D59" s="88">
        <f>'Grades-Nuances'!$H$37</f>
        <v>0</v>
      </c>
    </row>
    <row r="60" spans="1:4" x14ac:dyDescent="0.2">
      <c r="A60" s="98">
        <f t="shared" si="0"/>
        <v>0</v>
      </c>
      <c r="B60" s="572" t="s">
        <v>1015</v>
      </c>
      <c r="C60" s="42" t="s">
        <v>1135</v>
      </c>
      <c r="D60" s="88">
        <f>'Grades-Nuances'!$I$37</f>
        <v>0</v>
      </c>
    </row>
    <row r="61" spans="1:4" x14ac:dyDescent="0.2">
      <c r="A61" s="98">
        <f t="shared" si="0"/>
        <v>0</v>
      </c>
      <c r="B61" s="572" t="s">
        <v>854</v>
      </c>
      <c r="C61" s="42" t="s">
        <v>1136</v>
      </c>
      <c r="D61" s="88">
        <f>'Grades-Nuances'!$J$37</f>
        <v>0</v>
      </c>
    </row>
    <row r="62" spans="1:4" x14ac:dyDescent="0.2">
      <c r="A62" s="98">
        <f t="shared" si="0"/>
        <v>0</v>
      </c>
      <c r="B62" s="572" t="s">
        <v>1086</v>
      </c>
      <c r="C62" s="42" t="s">
        <v>1137</v>
      </c>
      <c r="D62" s="88">
        <f>'Grades-Nuances'!$L$37</f>
        <v>0</v>
      </c>
    </row>
    <row r="63" spans="1:4" x14ac:dyDescent="0.2">
      <c r="A63" s="98">
        <f t="shared" si="0"/>
        <v>0</v>
      </c>
      <c r="B63" s="572" t="s">
        <v>843</v>
      </c>
      <c r="C63" s="42" t="s">
        <v>1138</v>
      </c>
      <c r="D63" s="573">
        <f>'Grades-Nuances'!$B$41</f>
        <v>0</v>
      </c>
    </row>
    <row r="64" spans="1:4" x14ac:dyDescent="0.2">
      <c r="A64" s="98">
        <f t="shared" si="0"/>
        <v>0</v>
      </c>
      <c r="B64" s="572" t="s">
        <v>845</v>
      </c>
      <c r="C64" s="42" t="s">
        <v>1139</v>
      </c>
      <c r="D64" s="573">
        <f>'Grades-Nuances'!$C$41</f>
        <v>0</v>
      </c>
    </row>
    <row r="65" spans="1:4" x14ac:dyDescent="0.2">
      <c r="A65" s="98">
        <f t="shared" si="0"/>
        <v>0</v>
      </c>
      <c r="B65" s="572" t="s">
        <v>847</v>
      </c>
      <c r="C65" s="42" t="s">
        <v>1140</v>
      </c>
      <c r="D65" s="573">
        <f>'Grades-Nuances'!$D$41</f>
        <v>0</v>
      </c>
    </row>
    <row r="66" spans="1:4" x14ac:dyDescent="0.2">
      <c r="A66" s="98">
        <f t="shared" si="0"/>
        <v>0</v>
      </c>
      <c r="B66" s="572" t="s">
        <v>849</v>
      </c>
      <c r="C66" s="42" t="s">
        <v>1141</v>
      </c>
      <c r="D66" s="573">
        <f>'Grades-Nuances'!$E$41</f>
        <v>0</v>
      </c>
    </row>
    <row r="67" spans="1:4" x14ac:dyDescent="0.2">
      <c r="A67" s="98">
        <f t="shared" si="0"/>
        <v>0</v>
      </c>
      <c r="B67" s="572" t="s">
        <v>851</v>
      </c>
      <c r="C67" s="42" t="s">
        <v>1142</v>
      </c>
      <c r="D67" s="88">
        <f>'Grades-Nuances'!$F$41</f>
        <v>0</v>
      </c>
    </row>
    <row r="68" spans="1:4" x14ac:dyDescent="0.2">
      <c r="A68" s="98">
        <f t="shared" si="0"/>
        <v>0</v>
      </c>
      <c r="B68" s="572" t="s">
        <v>853</v>
      </c>
      <c r="C68" s="42" t="s">
        <v>1143</v>
      </c>
      <c r="D68" s="88">
        <f>'Grades-Nuances'!$G$41</f>
        <v>0</v>
      </c>
    </row>
    <row r="69" spans="1:4" x14ac:dyDescent="0.2">
      <c r="A69" s="98">
        <f t="shared" ref="A69:A112" si="1">A68</f>
        <v>0</v>
      </c>
      <c r="B69" s="572" t="s">
        <v>1014</v>
      </c>
      <c r="C69" s="42" t="s">
        <v>1144</v>
      </c>
      <c r="D69" s="88">
        <f>'Grades-Nuances'!$H$41</f>
        <v>0</v>
      </c>
    </row>
    <row r="70" spans="1:4" x14ac:dyDescent="0.2">
      <c r="A70" s="98">
        <f t="shared" si="1"/>
        <v>0</v>
      </c>
      <c r="B70" s="572" t="s">
        <v>1015</v>
      </c>
      <c r="C70" s="42" t="s">
        <v>1145</v>
      </c>
      <c r="D70" s="88">
        <f>'Grades-Nuances'!$I$41</f>
        <v>0</v>
      </c>
    </row>
    <row r="71" spans="1:4" x14ac:dyDescent="0.2">
      <c r="A71" s="98">
        <f t="shared" si="1"/>
        <v>0</v>
      </c>
      <c r="B71" s="572" t="s">
        <v>854</v>
      </c>
      <c r="C71" s="42" t="s">
        <v>1146</v>
      </c>
      <c r="D71" s="88">
        <f>'Grades-Nuances'!$J$41</f>
        <v>0</v>
      </c>
    </row>
    <row r="72" spans="1:4" x14ac:dyDescent="0.2">
      <c r="A72" s="98">
        <f t="shared" si="1"/>
        <v>0</v>
      </c>
      <c r="B72" s="572" t="s">
        <v>1086</v>
      </c>
      <c r="C72" s="42" t="s">
        <v>1147</v>
      </c>
      <c r="D72" s="88">
        <f>'Grades-Nuances'!$L$48</f>
        <v>0</v>
      </c>
    </row>
    <row r="73" spans="1:4" x14ac:dyDescent="0.2">
      <c r="A73" s="98">
        <f t="shared" si="1"/>
        <v>0</v>
      </c>
      <c r="B73" s="572" t="s">
        <v>843</v>
      </c>
      <c r="C73" s="42" t="s">
        <v>1148</v>
      </c>
      <c r="D73" s="573">
        <f>'Grades-Nuances'!$B$45</f>
        <v>0</v>
      </c>
    </row>
    <row r="74" spans="1:4" x14ac:dyDescent="0.2">
      <c r="A74" s="98">
        <f t="shared" si="1"/>
        <v>0</v>
      </c>
      <c r="B74" s="572" t="s">
        <v>845</v>
      </c>
      <c r="C74" s="42" t="s">
        <v>1149</v>
      </c>
      <c r="D74" s="573">
        <f>'Grades-Nuances'!$C$45</f>
        <v>0</v>
      </c>
    </row>
    <row r="75" spans="1:4" x14ac:dyDescent="0.2">
      <c r="A75" s="98">
        <f t="shared" si="1"/>
        <v>0</v>
      </c>
      <c r="B75" s="572" t="s">
        <v>847</v>
      </c>
      <c r="C75" s="42" t="s">
        <v>1150</v>
      </c>
      <c r="D75" s="573">
        <f>'Grades-Nuances'!$D$45</f>
        <v>0</v>
      </c>
    </row>
    <row r="76" spans="1:4" x14ac:dyDescent="0.2">
      <c r="A76" s="98">
        <f t="shared" si="1"/>
        <v>0</v>
      </c>
      <c r="B76" s="572" t="s">
        <v>849</v>
      </c>
      <c r="C76" s="42" t="s">
        <v>1151</v>
      </c>
      <c r="D76" s="573">
        <f>'Grades-Nuances'!$E$45</f>
        <v>0</v>
      </c>
    </row>
    <row r="77" spans="1:4" x14ac:dyDescent="0.2">
      <c r="A77" s="98">
        <f t="shared" si="1"/>
        <v>0</v>
      </c>
      <c r="B77" s="572" t="s">
        <v>851</v>
      </c>
      <c r="C77" s="42" t="s">
        <v>1152</v>
      </c>
      <c r="D77" s="88">
        <f>'Grades-Nuances'!$F$45</f>
        <v>0</v>
      </c>
    </row>
    <row r="78" spans="1:4" x14ac:dyDescent="0.2">
      <c r="A78" s="98">
        <f t="shared" si="1"/>
        <v>0</v>
      </c>
      <c r="B78" s="572" t="s">
        <v>853</v>
      </c>
      <c r="C78" s="42" t="s">
        <v>1153</v>
      </c>
      <c r="D78" s="88">
        <f>'Grades-Nuances'!$G$45</f>
        <v>0</v>
      </c>
    </row>
    <row r="79" spans="1:4" x14ac:dyDescent="0.2">
      <c r="A79" s="98">
        <f t="shared" si="1"/>
        <v>0</v>
      </c>
      <c r="B79" s="572" t="s">
        <v>1014</v>
      </c>
      <c r="C79" s="42" t="s">
        <v>1154</v>
      </c>
      <c r="D79" s="88">
        <f>'Grades-Nuances'!$H$45</f>
        <v>0</v>
      </c>
    </row>
    <row r="80" spans="1:4" x14ac:dyDescent="0.2">
      <c r="A80" s="98">
        <f t="shared" si="1"/>
        <v>0</v>
      </c>
      <c r="B80" s="572" t="s">
        <v>1015</v>
      </c>
      <c r="C80" s="42" t="s">
        <v>1155</v>
      </c>
      <c r="D80" s="88">
        <f>'Grades-Nuances'!$I$45</f>
        <v>0</v>
      </c>
    </row>
    <row r="81" spans="1:4" x14ac:dyDescent="0.2">
      <c r="A81" s="98">
        <f t="shared" si="1"/>
        <v>0</v>
      </c>
      <c r="B81" s="572" t="s">
        <v>854</v>
      </c>
      <c r="C81" s="42" t="s">
        <v>1156</v>
      </c>
      <c r="D81" s="88">
        <f>'Grades-Nuances'!$J$45</f>
        <v>0</v>
      </c>
    </row>
    <row r="82" spans="1:4" x14ac:dyDescent="0.2">
      <c r="A82" s="98">
        <f t="shared" si="1"/>
        <v>0</v>
      </c>
      <c r="B82" s="572" t="s">
        <v>1086</v>
      </c>
      <c r="C82" s="42" t="s">
        <v>1157</v>
      </c>
      <c r="D82" s="88">
        <f>'Grades-Nuances'!$L$45</f>
        <v>0</v>
      </c>
    </row>
    <row r="83" spans="1:4" x14ac:dyDescent="0.2">
      <c r="A83" s="98">
        <f t="shared" si="1"/>
        <v>0</v>
      </c>
      <c r="B83" s="572" t="s">
        <v>843</v>
      </c>
      <c r="C83" s="42" t="s">
        <v>1158</v>
      </c>
      <c r="D83" s="573">
        <f>'Grades-Nuances'!$B$49</f>
        <v>0</v>
      </c>
    </row>
    <row r="84" spans="1:4" x14ac:dyDescent="0.2">
      <c r="A84" s="98">
        <f t="shared" si="1"/>
        <v>0</v>
      </c>
      <c r="B84" s="572" t="s">
        <v>845</v>
      </c>
      <c r="C84" s="42" t="s">
        <v>1159</v>
      </c>
      <c r="D84" s="573">
        <f>'Grades-Nuances'!$C$49</f>
        <v>0</v>
      </c>
    </row>
    <row r="85" spans="1:4" x14ac:dyDescent="0.2">
      <c r="A85" s="98">
        <f t="shared" si="1"/>
        <v>0</v>
      </c>
      <c r="B85" s="572" t="s">
        <v>847</v>
      </c>
      <c r="C85" s="42" t="s">
        <v>1160</v>
      </c>
      <c r="D85" s="573">
        <f>'Grades-Nuances'!$D$49</f>
        <v>0</v>
      </c>
    </row>
    <row r="86" spans="1:4" x14ac:dyDescent="0.2">
      <c r="A86" s="98">
        <f t="shared" si="1"/>
        <v>0</v>
      </c>
      <c r="B86" s="572" t="s">
        <v>849</v>
      </c>
      <c r="C86" s="42" t="s">
        <v>1161</v>
      </c>
      <c r="D86" s="573">
        <f>'Grades-Nuances'!$E$49</f>
        <v>0</v>
      </c>
    </row>
    <row r="87" spans="1:4" x14ac:dyDescent="0.2">
      <c r="A87" s="98">
        <f t="shared" si="1"/>
        <v>0</v>
      </c>
      <c r="B87" s="572" t="s">
        <v>851</v>
      </c>
      <c r="C87" s="42" t="s">
        <v>1162</v>
      </c>
      <c r="D87" s="88">
        <f>'Grades-Nuances'!$F$49</f>
        <v>0</v>
      </c>
    </row>
    <row r="88" spans="1:4" x14ac:dyDescent="0.2">
      <c r="A88" s="98">
        <f t="shared" si="1"/>
        <v>0</v>
      </c>
      <c r="B88" s="572" t="s">
        <v>853</v>
      </c>
      <c r="C88" s="42" t="s">
        <v>1163</v>
      </c>
      <c r="D88" s="88">
        <f>'Grades-Nuances'!$G$49</f>
        <v>0</v>
      </c>
    </row>
    <row r="89" spans="1:4" x14ac:dyDescent="0.2">
      <c r="A89" s="98">
        <f t="shared" si="1"/>
        <v>0</v>
      </c>
      <c r="B89" s="572" t="s">
        <v>1014</v>
      </c>
      <c r="C89" s="42" t="s">
        <v>1164</v>
      </c>
      <c r="D89" s="88">
        <f>'Grades-Nuances'!$H$49</f>
        <v>0</v>
      </c>
    </row>
    <row r="90" spans="1:4" x14ac:dyDescent="0.2">
      <c r="A90" s="98">
        <f t="shared" si="1"/>
        <v>0</v>
      </c>
      <c r="B90" s="572" t="s">
        <v>1015</v>
      </c>
      <c r="C90" s="42" t="s">
        <v>1165</v>
      </c>
      <c r="D90" s="88">
        <f>'Grades-Nuances'!$I$49</f>
        <v>0</v>
      </c>
    </row>
    <row r="91" spans="1:4" x14ac:dyDescent="0.2">
      <c r="A91" s="98">
        <f t="shared" si="1"/>
        <v>0</v>
      </c>
      <c r="B91" s="572" t="s">
        <v>854</v>
      </c>
      <c r="C91" s="42" t="s">
        <v>1166</v>
      </c>
      <c r="D91" s="88">
        <f>'Grades-Nuances'!$J$49</f>
        <v>0</v>
      </c>
    </row>
    <row r="92" spans="1:4" x14ac:dyDescent="0.2">
      <c r="A92" s="98">
        <f t="shared" si="1"/>
        <v>0</v>
      </c>
      <c r="B92" s="572" t="s">
        <v>1086</v>
      </c>
      <c r="C92" s="42" t="s">
        <v>1167</v>
      </c>
      <c r="D92" s="88">
        <f>'Grades-Nuances'!$L$49</f>
        <v>0</v>
      </c>
    </row>
    <row r="93" spans="1:4" x14ac:dyDescent="0.2">
      <c r="A93" s="98">
        <f t="shared" si="1"/>
        <v>0</v>
      </c>
      <c r="B93" s="572" t="s">
        <v>843</v>
      </c>
      <c r="C93" s="42" t="s">
        <v>1168</v>
      </c>
      <c r="D93" s="573">
        <f>'Grades-Nuances'!$B$53</f>
        <v>0</v>
      </c>
    </row>
    <row r="94" spans="1:4" x14ac:dyDescent="0.2">
      <c r="A94" s="98">
        <f t="shared" si="1"/>
        <v>0</v>
      </c>
      <c r="B94" s="572" t="s">
        <v>845</v>
      </c>
      <c r="C94" s="42" t="s">
        <v>1169</v>
      </c>
      <c r="D94" s="573">
        <f>'Grades-Nuances'!$C$53</f>
        <v>0</v>
      </c>
    </row>
    <row r="95" spans="1:4" x14ac:dyDescent="0.2">
      <c r="A95" s="98">
        <f t="shared" si="1"/>
        <v>0</v>
      </c>
      <c r="B95" s="572" t="s">
        <v>847</v>
      </c>
      <c r="C95" s="42" t="s">
        <v>1170</v>
      </c>
      <c r="D95" s="573">
        <f>'Grades-Nuances'!$D$53</f>
        <v>0</v>
      </c>
    </row>
    <row r="96" spans="1:4" x14ac:dyDescent="0.2">
      <c r="A96" s="98">
        <f t="shared" si="1"/>
        <v>0</v>
      </c>
      <c r="B96" s="572" t="s">
        <v>849</v>
      </c>
      <c r="C96" s="42" t="s">
        <v>1171</v>
      </c>
      <c r="D96" s="573">
        <f>'Grades-Nuances'!$E$53</f>
        <v>0</v>
      </c>
    </row>
    <row r="97" spans="1:4" x14ac:dyDescent="0.2">
      <c r="A97" s="98">
        <f t="shared" si="1"/>
        <v>0</v>
      </c>
      <c r="B97" s="572" t="s">
        <v>851</v>
      </c>
      <c r="C97" s="42" t="s">
        <v>1172</v>
      </c>
      <c r="D97" s="88">
        <f>'Grades-Nuances'!$F$53</f>
        <v>0</v>
      </c>
    </row>
    <row r="98" spans="1:4" x14ac:dyDescent="0.2">
      <c r="A98" s="98">
        <f t="shared" si="1"/>
        <v>0</v>
      </c>
      <c r="B98" s="572" t="s">
        <v>853</v>
      </c>
      <c r="C98" s="42" t="s">
        <v>1173</v>
      </c>
      <c r="D98" s="88">
        <f>'Grades-Nuances'!$G$53</f>
        <v>0</v>
      </c>
    </row>
    <row r="99" spans="1:4" x14ac:dyDescent="0.2">
      <c r="A99" s="98">
        <f t="shared" si="1"/>
        <v>0</v>
      </c>
      <c r="B99" s="572" t="s">
        <v>1014</v>
      </c>
      <c r="C99" s="42" t="s">
        <v>1174</v>
      </c>
      <c r="D99" s="88">
        <f>'Grades-Nuances'!$H$53</f>
        <v>0</v>
      </c>
    </row>
    <row r="100" spans="1:4" x14ac:dyDescent="0.2">
      <c r="A100" s="98">
        <f t="shared" si="1"/>
        <v>0</v>
      </c>
      <c r="B100" s="572" t="s">
        <v>1015</v>
      </c>
      <c r="C100" s="42" t="s">
        <v>1175</v>
      </c>
      <c r="D100" s="88">
        <f>'Grades-Nuances'!$I$53</f>
        <v>0</v>
      </c>
    </row>
    <row r="101" spans="1:4" x14ac:dyDescent="0.2">
      <c r="A101" s="98">
        <f t="shared" si="1"/>
        <v>0</v>
      </c>
      <c r="B101" s="572" t="s">
        <v>854</v>
      </c>
      <c r="C101" s="42" t="s">
        <v>1176</v>
      </c>
      <c r="D101" s="88">
        <f>'Grades-Nuances'!$J$53</f>
        <v>0</v>
      </c>
    </row>
    <row r="102" spans="1:4" x14ac:dyDescent="0.2">
      <c r="A102" s="98">
        <f t="shared" si="1"/>
        <v>0</v>
      </c>
      <c r="B102" s="572" t="s">
        <v>1086</v>
      </c>
      <c r="C102" s="42" t="s">
        <v>1177</v>
      </c>
      <c r="D102" s="88">
        <f>'Grades-Nuances'!$L$53</f>
        <v>0</v>
      </c>
    </row>
    <row r="103" spans="1:4" x14ac:dyDescent="0.2">
      <c r="A103" s="98">
        <f t="shared" si="1"/>
        <v>0</v>
      </c>
      <c r="B103" s="572" t="s">
        <v>843</v>
      </c>
      <c r="C103" s="42" t="s">
        <v>1178</v>
      </c>
      <c r="D103" s="573">
        <f>'Grades-Nuances'!$B$57</f>
        <v>0</v>
      </c>
    </row>
    <row r="104" spans="1:4" x14ac:dyDescent="0.2">
      <c r="A104" s="98">
        <f t="shared" si="1"/>
        <v>0</v>
      </c>
      <c r="B104" s="572" t="s">
        <v>845</v>
      </c>
      <c r="C104" s="42" t="s">
        <v>1179</v>
      </c>
      <c r="D104" s="573">
        <f>'Grades-Nuances'!$C$57</f>
        <v>0</v>
      </c>
    </row>
    <row r="105" spans="1:4" x14ac:dyDescent="0.2">
      <c r="A105" s="98">
        <f t="shared" si="1"/>
        <v>0</v>
      </c>
      <c r="B105" s="572" t="s">
        <v>847</v>
      </c>
      <c r="C105" s="42" t="s">
        <v>1180</v>
      </c>
      <c r="D105" s="573">
        <f>'Grades-Nuances'!$D$57</f>
        <v>0</v>
      </c>
    </row>
    <row r="106" spans="1:4" x14ac:dyDescent="0.2">
      <c r="A106" s="98">
        <f t="shared" si="1"/>
        <v>0</v>
      </c>
      <c r="B106" s="572" t="s">
        <v>849</v>
      </c>
      <c r="C106" s="42" t="s">
        <v>1181</v>
      </c>
      <c r="D106" s="573">
        <f>'Grades-Nuances'!$E$57</f>
        <v>0</v>
      </c>
    </row>
    <row r="107" spans="1:4" x14ac:dyDescent="0.2">
      <c r="A107" s="98">
        <f t="shared" si="1"/>
        <v>0</v>
      </c>
      <c r="B107" s="572" t="s">
        <v>851</v>
      </c>
      <c r="C107" s="42" t="s">
        <v>1182</v>
      </c>
      <c r="D107" s="88">
        <f>'Grades-Nuances'!$F$57</f>
        <v>0</v>
      </c>
    </row>
    <row r="108" spans="1:4" x14ac:dyDescent="0.2">
      <c r="A108" s="98">
        <f t="shared" si="1"/>
        <v>0</v>
      </c>
      <c r="B108" s="572" t="s">
        <v>853</v>
      </c>
      <c r="C108" s="42" t="s">
        <v>1183</v>
      </c>
      <c r="D108" s="88">
        <f>'Grades-Nuances'!$G$57</f>
        <v>0</v>
      </c>
    </row>
    <row r="109" spans="1:4" x14ac:dyDescent="0.2">
      <c r="A109" s="98">
        <f t="shared" si="1"/>
        <v>0</v>
      </c>
      <c r="B109" s="572" t="s">
        <v>1014</v>
      </c>
      <c r="C109" s="42" t="s">
        <v>1184</v>
      </c>
      <c r="D109" s="88">
        <f>'Grades-Nuances'!$H$57</f>
        <v>0</v>
      </c>
    </row>
    <row r="110" spans="1:4" x14ac:dyDescent="0.2">
      <c r="A110" s="98">
        <f t="shared" si="1"/>
        <v>0</v>
      </c>
      <c r="B110" s="572" t="s">
        <v>1015</v>
      </c>
      <c r="C110" s="42" t="s">
        <v>1185</v>
      </c>
      <c r="D110" s="88">
        <f>'Grades-Nuances'!$I$57</f>
        <v>0</v>
      </c>
    </row>
    <row r="111" spans="1:4" x14ac:dyDescent="0.2">
      <c r="A111" s="98">
        <f t="shared" si="1"/>
        <v>0</v>
      </c>
      <c r="B111" s="572" t="s">
        <v>854</v>
      </c>
      <c r="C111" s="42" t="s">
        <v>1186</v>
      </c>
      <c r="D111" s="88">
        <f>'Grades-Nuances'!$J$57</f>
        <v>0</v>
      </c>
    </row>
    <row r="112" spans="1:4" x14ac:dyDescent="0.2">
      <c r="A112" s="98">
        <f t="shared" si="1"/>
        <v>0</v>
      </c>
      <c r="B112" s="572" t="s">
        <v>1086</v>
      </c>
      <c r="C112" s="42" t="s">
        <v>1187</v>
      </c>
      <c r="D112" s="88">
        <f>'Grades-Nuances'!$L$57</f>
        <v>0</v>
      </c>
    </row>
  </sheetData>
  <sheetProtection algorithmName="SHA-512" hashValue="hEvxzpW+mJkZeEM1YkGdGvUrwjzep/HJux2OGdsMVavmvFMTeufR2Zfh76oFzc0XMQd+3SIj+XFuH7+SJHczxA==" saltValue="DNzA+EeEYC7LyQDXf77hiQ==" spinCount="100000" sheet="1" objects="1" scenarios="1" selectLockedCell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674AA-20C8-4E5F-98F8-C44DF4FF7CE2}">
  <sheetPr>
    <tabColor rgb="FFFF0000"/>
  </sheetPr>
  <dimension ref="A1:M10"/>
  <sheetViews>
    <sheetView workbookViewId="0">
      <selection activeCell="M7" sqref="M7"/>
    </sheetView>
  </sheetViews>
  <sheetFormatPr defaultRowHeight="15" x14ac:dyDescent="0.25"/>
  <cols>
    <col min="1" max="1" width="27.7109375" customWidth="1"/>
    <col min="2" max="2" width="36.28515625" bestFit="1" customWidth="1"/>
    <col min="3" max="3" width="27" customWidth="1"/>
    <col min="4" max="4" width="26.7109375" bestFit="1" customWidth="1"/>
    <col min="5" max="5" width="13.7109375" bestFit="1" customWidth="1"/>
    <col min="6" max="6" width="10.28515625" customWidth="1"/>
    <col min="7" max="7" width="22.7109375" customWidth="1"/>
    <col min="8" max="8" width="27.28515625" bestFit="1" customWidth="1"/>
    <col min="9" max="13" width="8.7109375" customWidth="1"/>
  </cols>
  <sheetData>
    <row r="1" spans="1:13" x14ac:dyDescent="0.25">
      <c r="H1" s="297" t="s">
        <v>492</v>
      </c>
    </row>
    <row r="2" spans="1:13" x14ac:dyDescent="0.25">
      <c r="H2" s="297" t="s">
        <v>890</v>
      </c>
    </row>
    <row r="3" spans="1:13" x14ac:dyDescent="0.25">
      <c r="H3" s="297" t="s">
        <v>891</v>
      </c>
    </row>
    <row r="4" spans="1:13" ht="15.75" thickBot="1" x14ac:dyDescent="0.3">
      <c r="H4" s="297" t="s">
        <v>892</v>
      </c>
    </row>
    <row r="5" spans="1:13" x14ac:dyDescent="0.25">
      <c r="A5" s="298" t="s">
        <v>893</v>
      </c>
      <c r="B5" s="298" t="s">
        <v>894</v>
      </c>
      <c r="C5" s="298" t="s">
        <v>895</v>
      </c>
      <c r="D5" s="299" t="s">
        <v>896</v>
      </c>
      <c r="E5" s="299" t="s">
        <v>897</v>
      </c>
      <c r="F5" s="299" t="s">
        <v>898</v>
      </c>
      <c r="G5" s="300" t="s">
        <v>899</v>
      </c>
      <c r="H5" s="301" t="s">
        <v>900</v>
      </c>
      <c r="I5" s="302">
        <v>2023</v>
      </c>
      <c r="J5" s="303">
        <v>2024</v>
      </c>
      <c r="K5" s="303">
        <v>2025</v>
      </c>
      <c r="L5" s="302" t="s">
        <v>1012</v>
      </c>
      <c r="M5" s="304" t="s">
        <v>1013</v>
      </c>
    </row>
    <row r="6" spans="1:13" x14ac:dyDescent="0.25">
      <c r="A6" s="305">
        <f>Intro!E101</f>
        <v>0</v>
      </c>
      <c r="B6" s="306" t="s">
        <v>902</v>
      </c>
      <c r="C6" s="306" t="s">
        <v>40</v>
      </c>
      <c r="D6" s="307" t="s">
        <v>493</v>
      </c>
      <c r="E6" s="307" t="s">
        <v>493</v>
      </c>
      <c r="F6" s="308"/>
      <c r="G6" s="308" t="s">
        <v>492</v>
      </c>
      <c r="H6" s="309" t="s">
        <v>492</v>
      </c>
      <c r="I6" s="310" t="str">
        <f>Confirm!E35</f>
        <v>-</v>
      </c>
      <c r="J6" s="310" t="str">
        <f>Confirm!F35</f>
        <v>-</v>
      </c>
      <c r="K6" s="310" t="str">
        <f>Confirm!G35</f>
        <v>-</v>
      </c>
      <c r="L6" s="310" t="str">
        <f>Confirm!H35</f>
        <v>-</v>
      </c>
      <c r="M6" s="311" t="str">
        <f>Confirm!I35</f>
        <v>-</v>
      </c>
    </row>
    <row r="7" spans="1:13" x14ac:dyDescent="0.25">
      <c r="A7" s="42">
        <f>A6</f>
        <v>0</v>
      </c>
      <c r="B7" s="42" t="str">
        <f>B6</f>
        <v xml:space="preserve">Domestic Producer   |  Producteur national </v>
      </c>
      <c r="C7" s="42" t="s">
        <v>903</v>
      </c>
      <c r="D7" s="312" t="s">
        <v>493</v>
      </c>
      <c r="E7" s="312" t="s">
        <v>493</v>
      </c>
      <c r="F7" s="312"/>
      <c r="G7" s="313" t="s">
        <v>492</v>
      </c>
      <c r="H7" s="314" t="s">
        <v>890</v>
      </c>
      <c r="I7" s="315" t="str">
        <f>Confirm!E36</f>
        <v>-</v>
      </c>
      <c r="J7" s="315" t="str">
        <f>Confirm!F36</f>
        <v>-</v>
      </c>
      <c r="K7" s="315" t="str">
        <f>Confirm!G36</f>
        <v>-</v>
      </c>
      <c r="L7" s="315" t="str">
        <f>Confirm!H36</f>
        <v>-</v>
      </c>
      <c r="M7" s="316" t="str">
        <f>Confirm!I36</f>
        <v>-</v>
      </c>
    </row>
    <row r="8" spans="1:13" x14ac:dyDescent="0.25">
      <c r="A8" s="317">
        <f t="shared" ref="A8:B8" si="0">A7</f>
        <v>0</v>
      </c>
      <c r="B8" s="317" t="str">
        <f t="shared" si="0"/>
        <v xml:space="preserve">Domestic Producer   |  Producteur national </v>
      </c>
      <c r="C8" s="317" t="s">
        <v>903</v>
      </c>
      <c r="D8" s="318" t="s">
        <v>493</v>
      </c>
      <c r="E8" s="318" t="s">
        <v>493</v>
      </c>
      <c r="F8" s="318"/>
      <c r="G8" s="319" t="s">
        <v>492</v>
      </c>
      <c r="H8" s="320" t="s">
        <v>891</v>
      </c>
      <c r="I8" s="315" t="str">
        <f>Confirm!E37</f>
        <v>-</v>
      </c>
      <c r="J8" s="315" t="str">
        <f>Confirm!F38</f>
        <v>-</v>
      </c>
      <c r="K8" s="315" t="str">
        <f>Confirm!G38</f>
        <v>-</v>
      </c>
      <c r="L8" s="315" t="str">
        <f>Confirm!H38</f>
        <v>-</v>
      </c>
      <c r="M8" s="316" t="str">
        <f>Confirm!I38</f>
        <v>-</v>
      </c>
    </row>
    <row r="9" spans="1:13" x14ac:dyDescent="0.25">
      <c r="A9" s="42">
        <f>A8</f>
        <v>0</v>
      </c>
      <c r="B9" s="42" t="str">
        <f>B8</f>
        <v xml:space="preserve">Domestic Producer   |  Producteur national </v>
      </c>
      <c r="C9" s="42" t="s">
        <v>903</v>
      </c>
      <c r="D9" s="312" t="s">
        <v>493</v>
      </c>
      <c r="E9" s="312" t="s">
        <v>493</v>
      </c>
      <c r="F9" s="312"/>
      <c r="G9" s="313" t="s">
        <v>492</v>
      </c>
      <c r="H9" s="314" t="s">
        <v>892</v>
      </c>
      <c r="I9" s="315" t="str">
        <f>Confirm!E38</f>
        <v>-</v>
      </c>
      <c r="J9" s="315" t="str">
        <f>Confirm!F38</f>
        <v>-</v>
      </c>
      <c r="K9" s="315" t="str">
        <f>Confirm!G38</f>
        <v>-</v>
      </c>
      <c r="L9" s="315" t="str">
        <f>Confirm!H38</f>
        <v>-</v>
      </c>
      <c r="M9" s="315" t="str">
        <f>Confirm!I38</f>
        <v>-</v>
      </c>
    </row>
    <row r="10" spans="1:13" x14ac:dyDescent="0.25">
      <c r="A10" s="317">
        <v>0</v>
      </c>
      <c r="B10" s="317" t="s">
        <v>902</v>
      </c>
      <c r="C10" s="317" t="s">
        <v>904</v>
      </c>
      <c r="D10" s="318" t="s">
        <v>493</v>
      </c>
      <c r="E10" s="318" t="s">
        <v>493</v>
      </c>
      <c r="F10" s="318"/>
      <c r="G10" s="319"/>
      <c r="H10" s="320"/>
      <c r="I10" s="315" t="str">
        <f>Confirm!E39</f>
        <v>-</v>
      </c>
      <c r="J10" s="315" t="str">
        <f>Confirm!F39</f>
        <v>-</v>
      </c>
      <c r="K10" s="315" t="str">
        <f>Confirm!G39</f>
        <v>-</v>
      </c>
      <c r="L10" s="315" t="str">
        <f>Confirm!H39</f>
        <v>-</v>
      </c>
      <c r="M10" s="315" t="str">
        <f>Confirm!I39</f>
        <v>-</v>
      </c>
    </row>
  </sheetData>
  <sheetProtection algorithmName="SHA-512" hashValue="U08+5va/asFJzlr8FN4Fk9/hiZzW/mVuwa1P6TfatgUZwojRNRJkjEsLvgHOR5noaSjhgn6cWcp8vpljUm0Dqg==" saltValue="PJ8JyjFQ0rnab/r69lt7Iw==" spinCount="100000" sheet="1" objects="1" scenarios="1" selectLockedCells="1"/>
  <dataValidations count="4">
    <dataValidation type="list" allowBlank="1" showInputMessage="1" showErrorMessage="1" sqref="B6" xr:uid="{F0C43D1B-6D6A-49B0-8067-160F04136C95}">
      <formula1>$B$1:$B$4</formula1>
    </dataValidation>
    <dataValidation type="list" allowBlank="1" showInputMessage="1" showErrorMessage="1" sqref="H6:H10" xr:uid="{2B0A2911-8330-469D-9F48-707927600571}">
      <formula1>$H$1:$H$4</formula1>
    </dataValidation>
    <dataValidation type="list" allowBlank="1" showInputMessage="1" showErrorMessage="1" sqref="C6:C10" xr:uid="{AFB63F2A-26EB-4391-8457-2E271C4BA521}">
      <formula1>$C$1:$C$7</formula1>
    </dataValidation>
    <dataValidation type="list" allowBlank="1" showInputMessage="1" showErrorMessage="1" sqref="D6:D10" xr:uid="{6834BA07-DDF6-4A9D-93BF-ADB677DE623F}">
      <formula1>$D$1:$D$9</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31D0A-F3A1-4EF6-A998-39A5225A5A8D}">
  <sheetPr>
    <tabColor rgb="FFFF0000"/>
  </sheetPr>
  <dimension ref="A1:AM10"/>
  <sheetViews>
    <sheetView workbookViewId="0">
      <selection activeCell="Y18" sqref="Y18"/>
    </sheetView>
  </sheetViews>
  <sheetFormatPr defaultRowHeight="15" x14ac:dyDescent="0.25"/>
  <cols>
    <col min="1" max="1" width="22.7109375" customWidth="1"/>
    <col min="2" max="2" width="12.28515625" customWidth="1"/>
    <col min="3" max="3" width="11.42578125" customWidth="1"/>
    <col min="4" max="4" width="11.7109375" bestFit="1" customWidth="1"/>
    <col min="5" max="7" width="5.28515625" customWidth="1"/>
    <col min="8" max="8" width="14.28515625" customWidth="1"/>
    <col min="9" max="9" width="16.42578125" customWidth="1"/>
    <col min="10" max="10" width="16" bestFit="1" customWidth="1"/>
    <col min="11" max="11" width="25.5703125" customWidth="1"/>
    <col min="12" max="12" width="11.28515625" customWidth="1"/>
    <col min="13" max="13" width="21.28515625" bestFit="1" customWidth="1"/>
    <col min="14" max="14" width="14.42578125" customWidth="1"/>
    <col min="15" max="15" width="30" bestFit="1" customWidth="1"/>
    <col min="16" max="16" width="0" hidden="1" customWidth="1"/>
    <col min="17" max="17" width="12.7109375" bestFit="1" customWidth="1"/>
    <col min="18" max="21" width="13.42578125" customWidth="1"/>
    <col min="22" max="22" width="10.7109375" customWidth="1"/>
    <col min="23" max="27" width="12.5703125" customWidth="1"/>
    <col min="28" max="39" width="10.7109375" customWidth="1"/>
  </cols>
  <sheetData>
    <row r="1" spans="1:39" x14ac:dyDescent="0.25">
      <c r="O1" s="297" t="s">
        <v>492</v>
      </c>
    </row>
    <row r="2" spans="1:39" x14ac:dyDescent="0.25">
      <c r="O2" s="297" t="s">
        <v>890</v>
      </c>
    </row>
    <row r="3" spans="1:39" x14ac:dyDescent="0.25">
      <c r="O3" s="297" t="s">
        <v>891</v>
      </c>
    </row>
    <row r="4" spans="1:39" ht="15.75" thickBot="1" x14ac:dyDescent="0.3">
      <c r="O4" s="297" t="s">
        <v>892</v>
      </c>
    </row>
    <row r="5" spans="1:39" ht="36.75" x14ac:dyDescent="0.25">
      <c r="A5" s="321" t="s">
        <v>475</v>
      </c>
      <c r="B5" s="321" t="s">
        <v>905</v>
      </c>
      <c r="C5" s="321" t="s">
        <v>476</v>
      </c>
      <c r="D5" s="321" t="s">
        <v>477</v>
      </c>
      <c r="E5" s="322" t="s">
        <v>906</v>
      </c>
      <c r="F5" s="322" t="s">
        <v>907</v>
      </c>
      <c r="G5" s="322" t="s">
        <v>908</v>
      </c>
      <c r="H5" s="321" t="s">
        <v>479</v>
      </c>
      <c r="I5" s="321" t="s">
        <v>480</v>
      </c>
      <c r="J5" s="323" t="s">
        <v>909</v>
      </c>
      <c r="K5" s="321" t="s">
        <v>481</v>
      </c>
      <c r="L5" s="324" t="s">
        <v>910</v>
      </c>
      <c r="M5" s="321" t="s">
        <v>538</v>
      </c>
      <c r="N5" s="321" t="s">
        <v>483</v>
      </c>
      <c r="O5" s="321" t="s">
        <v>484</v>
      </c>
      <c r="P5" s="321" t="s">
        <v>911</v>
      </c>
      <c r="Q5" s="325" t="s">
        <v>912</v>
      </c>
      <c r="R5" s="325" t="s">
        <v>913</v>
      </c>
      <c r="S5" s="325" t="s">
        <v>1067</v>
      </c>
      <c r="T5" s="326" t="s">
        <v>914</v>
      </c>
      <c r="U5" s="326" t="s">
        <v>1068</v>
      </c>
      <c r="V5" s="327" t="s">
        <v>915</v>
      </c>
      <c r="W5" s="328" t="s">
        <v>916</v>
      </c>
      <c r="X5" s="329" t="s">
        <v>917</v>
      </c>
      <c r="Y5" s="329" t="s">
        <v>1069</v>
      </c>
      <c r="Z5" s="329" t="s">
        <v>918</v>
      </c>
      <c r="AA5" s="329" t="s">
        <v>1070</v>
      </c>
      <c r="AB5" s="330" t="s">
        <v>915</v>
      </c>
      <c r="AC5" s="331" t="s">
        <v>919</v>
      </c>
      <c r="AD5" s="331" t="s">
        <v>920</v>
      </c>
      <c r="AE5" s="331" t="s">
        <v>921</v>
      </c>
      <c r="AF5" s="331" t="s">
        <v>922</v>
      </c>
      <c r="AG5" s="331" t="s">
        <v>923</v>
      </c>
      <c r="AH5" s="332" t="s">
        <v>915</v>
      </c>
      <c r="AI5" s="333" t="s">
        <v>924</v>
      </c>
      <c r="AJ5" s="333" t="s">
        <v>925</v>
      </c>
      <c r="AK5" s="333" t="s">
        <v>926</v>
      </c>
      <c r="AL5" s="333" t="s">
        <v>927</v>
      </c>
      <c r="AM5" s="333" t="s">
        <v>928</v>
      </c>
    </row>
    <row r="6" spans="1:39" x14ac:dyDescent="0.25">
      <c r="A6" s="334">
        <f>Intro!E101</f>
        <v>0</v>
      </c>
      <c r="B6" s="334">
        <f>A6</f>
        <v>0</v>
      </c>
      <c r="C6" s="334" t="s">
        <v>491</v>
      </c>
      <c r="D6" s="335" t="s">
        <v>929</v>
      </c>
      <c r="E6" s="336"/>
      <c r="F6" s="337"/>
      <c r="G6" s="338"/>
      <c r="H6" s="338" t="s">
        <v>516</v>
      </c>
      <c r="I6" s="334" t="s">
        <v>493</v>
      </c>
      <c r="J6" s="334" t="s">
        <v>493</v>
      </c>
      <c r="K6" s="334" t="s">
        <v>493</v>
      </c>
      <c r="L6" s="334"/>
      <c r="M6" s="334" t="s">
        <v>493</v>
      </c>
      <c r="N6" s="339" t="s">
        <v>495</v>
      </c>
      <c r="O6" s="334" t="s">
        <v>496</v>
      </c>
      <c r="P6" s="340" t="s">
        <v>492</v>
      </c>
      <c r="Q6" s="341">
        <f>'Pro 2'!G28</f>
        <v>0</v>
      </c>
      <c r="R6" s="341">
        <f>'Pro 2'!H28</f>
        <v>0</v>
      </c>
      <c r="S6" s="341">
        <f>'Pro 2'!I28</f>
        <v>0</v>
      </c>
      <c r="T6" s="341">
        <f>'Pro 2'!J28</f>
        <v>0</v>
      </c>
      <c r="U6" s="341">
        <f>'Pro 2'!K28</f>
        <v>0</v>
      </c>
      <c r="V6" s="341">
        <f>'Pro 2'!L28</f>
        <v>0</v>
      </c>
      <c r="W6" s="341">
        <f>'Pro 2'!G29/1000</f>
        <v>0</v>
      </c>
      <c r="X6" s="341">
        <f>'Pro 2'!H29/1000</f>
        <v>0</v>
      </c>
      <c r="Y6" s="341">
        <f>'Pro 2'!I29/1000</f>
        <v>0</v>
      </c>
      <c r="Z6" s="341">
        <f>'Pro 2'!J29/1000</f>
        <v>0</v>
      </c>
      <c r="AA6" s="341">
        <f>'Pro 2'!K29/1000</f>
        <v>0</v>
      </c>
      <c r="AB6" s="341">
        <f>'Pro 2'!L29/1000</f>
        <v>0</v>
      </c>
      <c r="AC6" s="341">
        <f>(IF(ISERROR(W6/Q6),0,W6/Q6))*1000</f>
        <v>0</v>
      </c>
      <c r="AD6" s="341">
        <f t="shared" ref="AC6:AH8" si="0">(IF(ISERROR(X6/R6),0,X6/R6))*1000</f>
        <v>0</v>
      </c>
      <c r="AE6" s="341">
        <f t="shared" si="0"/>
        <v>0</v>
      </c>
      <c r="AF6" s="341">
        <f t="shared" si="0"/>
        <v>0</v>
      </c>
      <c r="AG6" s="342">
        <f t="shared" si="0"/>
        <v>0</v>
      </c>
      <c r="AH6" s="343">
        <f t="shared" si="0"/>
        <v>0</v>
      </c>
      <c r="AI6" s="344">
        <f>W6*('Pro 2'!G$146/100)</f>
        <v>0</v>
      </c>
      <c r="AJ6" s="344">
        <f>X6*('Pro 2'!H$146/100)</f>
        <v>0</v>
      </c>
      <c r="AK6" s="344">
        <f>Y6*('Pro 2'!I$146/100)</f>
        <v>0</v>
      </c>
      <c r="AL6" s="344">
        <f>Z6*('Pro 2'!J$146/100)</f>
        <v>0</v>
      </c>
      <c r="AM6" s="344">
        <f>AA6*('Pro 2'!K$146/100)</f>
        <v>0</v>
      </c>
    </row>
    <row r="7" spans="1:39" x14ac:dyDescent="0.25">
      <c r="A7" s="345">
        <f>A6</f>
        <v>0</v>
      </c>
      <c r="B7" s="345">
        <f>A7</f>
        <v>0</v>
      </c>
      <c r="C7" s="345" t="str">
        <f t="shared" ref="C7:D8" si="1">C6</f>
        <v>1 - Producer</v>
      </c>
      <c r="D7" s="345" t="str">
        <f t="shared" si="1"/>
        <v xml:space="preserve">- </v>
      </c>
      <c r="E7" s="346"/>
      <c r="F7" s="346"/>
      <c r="G7" s="345"/>
      <c r="H7" s="345" t="str">
        <f>H6</f>
        <v>A - DOM</v>
      </c>
      <c r="I7" s="345" t="s">
        <v>493</v>
      </c>
      <c r="J7" s="345" t="s">
        <v>493</v>
      </c>
      <c r="K7" s="345" t="s">
        <v>493</v>
      </c>
      <c r="L7" s="345"/>
      <c r="M7" s="345" t="s">
        <v>493</v>
      </c>
      <c r="N7" s="347" t="s">
        <v>495</v>
      </c>
      <c r="O7" s="345" t="s">
        <v>930</v>
      </c>
      <c r="P7" s="348" t="s">
        <v>492</v>
      </c>
      <c r="Q7" s="349">
        <f>'Pro 2'!G31</f>
        <v>0</v>
      </c>
      <c r="R7" s="349">
        <f>'Pro 2'!H31</f>
        <v>0</v>
      </c>
      <c r="S7" s="349">
        <f>'Pro 2'!I31</f>
        <v>0</v>
      </c>
      <c r="T7" s="349">
        <f>'Pro 2'!J31</f>
        <v>0</v>
      </c>
      <c r="U7" s="349">
        <f>'Pro 2'!K31</f>
        <v>0</v>
      </c>
      <c r="V7" s="349">
        <f>'Pro 2'!L31</f>
        <v>0</v>
      </c>
      <c r="W7" s="349">
        <f>'Pro 2'!G32/1000</f>
        <v>0</v>
      </c>
      <c r="X7" s="349">
        <f>'Pro 2'!H32/1000</f>
        <v>0</v>
      </c>
      <c r="Y7" s="349">
        <f>'Pro 2'!I32/1000</f>
        <v>0</v>
      </c>
      <c r="Z7" s="349">
        <f>'Pro 2'!J32/1000</f>
        <v>0</v>
      </c>
      <c r="AA7" s="349">
        <f>'Pro 2'!K32/1000</f>
        <v>0</v>
      </c>
      <c r="AB7" s="349">
        <f>'Pro 2'!L32/1000</f>
        <v>0</v>
      </c>
      <c r="AC7" s="349">
        <f t="shared" ref="AC7" si="2">(IF(ISERROR(W7/Q7),0,W7/Q7))*1000</f>
        <v>0</v>
      </c>
      <c r="AD7" s="349">
        <f t="shared" si="0"/>
        <v>0</v>
      </c>
      <c r="AE7" s="349">
        <f t="shared" si="0"/>
        <v>0</v>
      </c>
      <c r="AF7" s="349">
        <f t="shared" si="0"/>
        <v>0</v>
      </c>
      <c r="AG7" s="350">
        <f t="shared" si="0"/>
        <v>0</v>
      </c>
      <c r="AH7" s="351">
        <f t="shared" si="0"/>
        <v>0</v>
      </c>
      <c r="AI7" s="352">
        <f>W7*('Pro 2'!G$146/100)</f>
        <v>0</v>
      </c>
      <c r="AJ7" s="352">
        <f>X7*('Pro 2'!H$146/100)</f>
        <v>0</v>
      </c>
      <c r="AK7" s="352">
        <f>Y7*('Pro 2'!I$146/100)</f>
        <v>0</v>
      </c>
      <c r="AL7" s="352">
        <f>Z7*('Pro 2'!J$146/100)</f>
        <v>0</v>
      </c>
      <c r="AM7" s="352">
        <f>AA7*('Pro 2'!K$146/100)</f>
        <v>0</v>
      </c>
    </row>
    <row r="8" spans="1:39" x14ac:dyDescent="0.25">
      <c r="A8" s="345">
        <f>A7</f>
        <v>0</v>
      </c>
      <c r="B8" s="345">
        <f>A8</f>
        <v>0</v>
      </c>
      <c r="C8" s="345" t="str">
        <f t="shared" si="1"/>
        <v>1 - Producer</v>
      </c>
      <c r="D8" s="345" t="str">
        <f t="shared" si="1"/>
        <v xml:space="preserve">- </v>
      </c>
      <c r="E8" s="346"/>
      <c r="F8" s="346"/>
      <c r="G8" s="345"/>
      <c r="H8" s="345" t="str">
        <f>H7</f>
        <v>A - DOM</v>
      </c>
      <c r="I8" s="345" t="s">
        <v>493</v>
      </c>
      <c r="J8" s="345" t="s">
        <v>493</v>
      </c>
      <c r="K8" s="345" t="s">
        <v>493</v>
      </c>
      <c r="L8" s="345"/>
      <c r="M8" s="345" t="s">
        <v>493</v>
      </c>
      <c r="N8" s="347" t="s">
        <v>495</v>
      </c>
      <c r="O8" s="345" t="s">
        <v>892</v>
      </c>
      <c r="P8" s="348" t="s">
        <v>492</v>
      </c>
      <c r="Q8" s="349">
        <f>'Pro 2'!G34</f>
        <v>0</v>
      </c>
      <c r="R8" s="349">
        <f>'Pro 2'!H34</f>
        <v>0</v>
      </c>
      <c r="S8" s="349">
        <f>'Pro 2'!I34</f>
        <v>0</v>
      </c>
      <c r="T8" s="349">
        <f>'Pro 2'!J34</f>
        <v>0</v>
      </c>
      <c r="U8" s="349">
        <f>'Pro 2'!K34</f>
        <v>0</v>
      </c>
      <c r="V8" s="349">
        <f>'Pro 2'!L34</f>
        <v>0</v>
      </c>
      <c r="W8" s="349">
        <f>'Pro 2'!G35/1000</f>
        <v>0</v>
      </c>
      <c r="X8" s="349">
        <f>'Pro 2'!H35/1000</f>
        <v>0</v>
      </c>
      <c r="Y8" s="349">
        <f>'Pro 2'!I35/1000</f>
        <v>0</v>
      </c>
      <c r="Z8" s="349">
        <f>'Pro 2'!J35/1000</f>
        <v>0</v>
      </c>
      <c r="AA8" s="349">
        <f>'Pro 2'!K35/1000</f>
        <v>0</v>
      </c>
      <c r="AB8" s="349">
        <f>'Pro 2'!L35/1000</f>
        <v>0</v>
      </c>
      <c r="AC8" s="349">
        <f t="shared" si="0"/>
        <v>0</v>
      </c>
      <c r="AD8" s="349">
        <f t="shared" si="0"/>
        <v>0</v>
      </c>
      <c r="AE8" s="349">
        <f t="shared" si="0"/>
        <v>0</v>
      </c>
      <c r="AF8" s="349">
        <f t="shared" si="0"/>
        <v>0</v>
      </c>
      <c r="AG8" s="350">
        <f t="shared" si="0"/>
        <v>0</v>
      </c>
      <c r="AH8" s="351">
        <f t="shared" si="0"/>
        <v>0</v>
      </c>
      <c r="AI8" s="352">
        <f>W8*('Pro 2'!G$146/100)</f>
        <v>0</v>
      </c>
      <c r="AJ8" s="352">
        <f>X8*('Pro 2'!H$146/100)</f>
        <v>0</v>
      </c>
      <c r="AK8" s="352">
        <f>Y8*('Pro 2'!I$146/100)</f>
        <v>0</v>
      </c>
      <c r="AL8" s="352">
        <f>Z8*('Pro 2'!J$146/100)</f>
        <v>0</v>
      </c>
      <c r="AM8" s="352">
        <f>AA8*('Pro 2'!K$146/100)</f>
        <v>0</v>
      </c>
    </row>
    <row r="9" spans="1:39" x14ac:dyDescent="0.25">
      <c r="A9" s="42"/>
      <c r="B9" s="42"/>
      <c r="C9" s="42"/>
      <c r="D9" s="354"/>
      <c r="E9" s="354"/>
      <c r="F9" s="354"/>
      <c r="G9" s="355"/>
      <c r="H9" s="354"/>
      <c r="I9" s="356"/>
      <c r="J9" s="357"/>
      <c r="K9" s="357"/>
      <c r="L9" s="357"/>
      <c r="M9" s="357"/>
      <c r="Q9" s="349"/>
      <c r="R9" s="349"/>
      <c r="S9" s="349"/>
      <c r="T9" s="349"/>
      <c r="U9" s="350"/>
      <c r="V9" s="351"/>
      <c r="W9" s="349"/>
      <c r="X9" s="349"/>
      <c r="Y9" s="349"/>
      <c r="Z9" s="349"/>
      <c r="AA9" s="350"/>
      <c r="AB9" s="351"/>
      <c r="AC9" s="349"/>
      <c r="AD9" s="349"/>
      <c r="AE9" s="349"/>
      <c r="AF9" s="349"/>
      <c r="AG9" s="350"/>
      <c r="AH9" s="351"/>
      <c r="AI9" s="352"/>
      <c r="AJ9" s="352"/>
      <c r="AK9" s="352"/>
      <c r="AL9" s="352"/>
      <c r="AM9" s="353"/>
    </row>
    <row r="10" spans="1:39" x14ac:dyDescent="0.25">
      <c r="A10" s="42"/>
      <c r="B10" s="42"/>
      <c r="C10" s="42"/>
      <c r="D10" s="354"/>
      <c r="E10" s="354"/>
      <c r="F10" s="354"/>
      <c r="G10" s="355"/>
      <c r="H10" s="354"/>
      <c r="I10" s="356"/>
      <c r="J10" s="357"/>
      <c r="K10" s="357"/>
      <c r="L10" s="357"/>
      <c r="M10" s="357"/>
    </row>
  </sheetData>
  <sheetProtection algorithmName="SHA-512" hashValue="Ik8lnTGluZ73d9Dey+lAolk0bdJfqV8e6mERDkjEw+OnDruEjwn/tZVPBoQ4FpBvi+rYcsLolGRhdTFi0apnOw==" saltValue="STmSZnM2/RDY8tu0PvIEBQ==" spinCount="100000" sheet="1" objects="1" scenarios="1" selectLockedCells="1"/>
  <dataValidations count="9">
    <dataValidation type="list" allowBlank="1" showInputMessage="1" showErrorMessage="1" sqref="H9:H10" xr:uid="{9E3EA896-1B05-4F37-9A4C-B4F8D3A00CC9}">
      <formula1>$H$1:$H$5</formula1>
    </dataValidation>
    <dataValidation type="list" allowBlank="1" showInputMessage="1" showErrorMessage="1" sqref="C9:C10" xr:uid="{91A59E7C-CB19-4241-BC2F-2DC9D36ADC5C}">
      <formula1>$C$1:$C$8</formula1>
    </dataValidation>
    <dataValidation type="list" allowBlank="1" showInputMessage="1" showErrorMessage="1" sqref="D9:D10" xr:uid="{EDD9D857-7BE5-402B-AB06-46289B088EF5}">
      <formula1>$D$1:$D$10</formula1>
    </dataValidation>
    <dataValidation type="list" allowBlank="1" showInputMessage="1" showErrorMessage="1" sqref="N6:N8" xr:uid="{C4D01794-6CE5-4709-8672-95440EDDC29B}">
      <formula1>$N$1:$N$9</formula1>
    </dataValidation>
    <dataValidation type="list" allowBlank="1" showInputMessage="1" showErrorMessage="1" sqref="P6:P8" xr:uid="{91ABF116-A9C4-474A-8DFB-675467BC904A}">
      <formula1>$P$1:$P$8</formula1>
    </dataValidation>
    <dataValidation type="list" allowBlank="1" showInputMessage="1" showErrorMessage="1" sqref="O6:O8" xr:uid="{CCF71B13-BE92-4A46-B616-733179AE2119}">
      <formula1>$O$1:$O$4</formula1>
    </dataValidation>
    <dataValidation type="list" allowBlank="1" showInputMessage="1" showErrorMessage="1" sqref="H7:H8" xr:uid="{A7CA2FF4-4595-430B-9C6B-979752D34E89}">
      <formula1>$H$5:$H$30</formula1>
    </dataValidation>
    <dataValidation type="list" allowBlank="1" showInputMessage="1" showErrorMessage="1" sqref="H6" xr:uid="{6D74E045-45FF-43F2-8E27-CC6ECD27F633}">
      <formula1>$H$1:$H$30</formula1>
    </dataValidation>
    <dataValidation type="list" allowBlank="1" showInputMessage="1" showErrorMessage="1" sqref="D6" xr:uid="{B741AE53-8F1D-45C2-9961-847EDB496464}">
      <formula1>$D$1:$D$8</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A2B9D-0CD6-4738-8BA1-B66482971F57}">
  <sheetPr>
    <tabColor rgb="FFFF0000"/>
  </sheetPr>
  <dimension ref="A2:X75"/>
  <sheetViews>
    <sheetView workbookViewId="0">
      <selection activeCell="C6" sqref="C6"/>
    </sheetView>
  </sheetViews>
  <sheetFormatPr defaultRowHeight="15" x14ac:dyDescent="0.25"/>
  <cols>
    <col min="2" max="2" width="4.5703125" customWidth="1"/>
    <col min="3" max="3" width="42.28515625" customWidth="1"/>
    <col min="4" max="4" width="0" hidden="1" customWidth="1"/>
    <col min="5" max="9" width="10" customWidth="1"/>
    <col min="10" max="10" width="5" customWidth="1"/>
    <col min="11" max="11" width="42.28515625" customWidth="1"/>
    <col min="12" max="12" width="4.5703125" customWidth="1"/>
    <col min="13" max="13" width="2.7109375" customWidth="1"/>
    <col min="14" max="14" width="4.5703125" customWidth="1"/>
    <col min="15" max="15" width="42.28515625" customWidth="1"/>
    <col min="16" max="16" width="0" hidden="1" customWidth="1"/>
    <col min="17" max="21" width="10.28515625" customWidth="1"/>
    <col min="22" max="22" width="5" customWidth="1"/>
    <col min="23" max="23" width="42.28515625" customWidth="1"/>
    <col min="24" max="24" width="4.5703125" customWidth="1"/>
  </cols>
  <sheetData>
    <row r="2" spans="1:24" ht="15.75" thickBot="1" x14ac:dyDescent="0.3">
      <c r="C2" s="1015" t="s">
        <v>931</v>
      </c>
      <c r="D2" s="1015"/>
      <c r="E2" s="1015"/>
      <c r="F2" s="1015"/>
      <c r="G2" s="1015"/>
      <c r="H2" s="1015"/>
      <c r="I2" s="1015"/>
      <c r="J2" s="1015"/>
      <c r="K2" s="1015"/>
      <c r="O2" s="1016" t="s">
        <v>932</v>
      </c>
      <c r="P2" s="1016"/>
      <c r="Q2" s="1016"/>
      <c r="R2" s="1016"/>
      <c r="S2" s="1016"/>
      <c r="T2" s="1016"/>
      <c r="U2" s="1016"/>
      <c r="V2" s="1016"/>
      <c r="W2" s="1016"/>
    </row>
    <row r="3" spans="1:24" x14ac:dyDescent="0.25">
      <c r="B3" s="358"/>
      <c r="C3" s="359"/>
      <c r="D3" s="359"/>
      <c r="E3" s="360"/>
      <c r="F3" s="360"/>
      <c r="G3" s="360"/>
      <c r="H3" s="360"/>
      <c r="I3" s="360"/>
      <c r="J3" s="360"/>
      <c r="K3" s="360"/>
      <c r="L3" s="361"/>
      <c r="M3" s="98"/>
      <c r="N3" s="358"/>
      <c r="O3" s="359"/>
      <c r="P3" s="359"/>
      <c r="Q3" s="360"/>
      <c r="R3" s="360"/>
      <c r="S3" s="360"/>
      <c r="T3" s="360"/>
      <c r="U3" s="360"/>
      <c r="V3" s="360"/>
      <c r="W3" s="360"/>
      <c r="X3" s="361"/>
    </row>
    <row r="4" spans="1:24" x14ac:dyDescent="0.25">
      <c r="A4" s="362"/>
      <c r="B4" s="363"/>
      <c r="C4" s="364"/>
      <c r="D4" s="364"/>
      <c r="E4" s="365"/>
      <c r="F4" s="365"/>
      <c r="G4" s="365"/>
      <c r="H4" s="365"/>
      <c r="I4" s="365"/>
      <c r="J4" s="365"/>
      <c r="K4" s="365"/>
      <c r="L4" s="366"/>
      <c r="M4" s="98"/>
      <c r="N4" s="363"/>
      <c r="O4" s="364"/>
      <c r="P4" s="364"/>
      <c r="Q4" s="365"/>
      <c r="R4" s="365"/>
      <c r="S4" s="365"/>
      <c r="T4" s="365"/>
      <c r="U4" s="365"/>
      <c r="V4" s="365"/>
      <c r="W4" s="365"/>
      <c r="X4" s="366"/>
    </row>
    <row r="5" spans="1:24" x14ac:dyDescent="0.25">
      <c r="A5" s="367"/>
      <c r="B5" s="363"/>
      <c r="C5" s="364"/>
      <c r="D5" s="364"/>
      <c r="E5" s="365"/>
      <c r="F5" s="365"/>
      <c r="G5" s="365"/>
      <c r="H5" s="1014" t="s">
        <v>933</v>
      </c>
      <c r="I5" s="1014"/>
      <c r="J5" s="368"/>
      <c r="K5" s="368"/>
      <c r="L5" s="366"/>
      <c r="M5" s="98"/>
      <c r="N5" s="363"/>
      <c r="O5" s="364"/>
      <c r="P5" s="364"/>
      <c r="Q5" s="365"/>
      <c r="R5" s="365"/>
      <c r="S5" s="365"/>
      <c r="T5" s="1014" t="s">
        <v>933</v>
      </c>
      <c r="U5" s="1014"/>
      <c r="V5" s="368"/>
      <c r="W5" s="368"/>
      <c r="X5" s="366"/>
    </row>
    <row r="6" spans="1:24" x14ac:dyDescent="0.25">
      <c r="A6" s="42"/>
      <c r="B6" s="369"/>
      <c r="C6" s="370">
        <f>Intro!E101</f>
        <v>0</v>
      </c>
      <c r="D6" s="371"/>
      <c r="E6" s="371">
        <v>2023</v>
      </c>
      <c r="F6" s="371">
        <v>2024</v>
      </c>
      <c r="G6" s="371">
        <v>2025</v>
      </c>
      <c r="H6" s="371">
        <v>2025</v>
      </c>
      <c r="I6" s="371">
        <v>2026</v>
      </c>
      <c r="J6" s="364"/>
      <c r="K6" s="364"/>
      <c r="L6" s="366"/>
      <c r="M6" s="98"/>
      <c r="N6" s="369"/>
      <c r="O6" s="370">
        <f>C6</f>
        <v>0</v>
      </c>
      <c r="P6" s="371"/>
      <c r="Q6" s="371">
        <v>2022</v>
      </c>
      <c r="R6" s="371">
        <v>2023</v>
      </c>
      <c r="S6" s="371">
        <v>2024</v>
      </c>
      <c r="T6" s="371">
        <v>2024</v>
      </c>
      <c r="U6" s="371">
        <v>2025</v>
      </c>
      <c r="V6" s="364"/>
      <c r="W6" s="364"/>
      <c r="X6" s="366"/>
    </row>
    <row r="7" spans="1:24" x14ac:dyDescent="0.25">
      <c r="A7" s="42"/>
      <c r="B7" s="369"/>
      <c r="C7" s="371" t="s">
        <v>436</v>
      </c>
      <c r="D7" s="371" t="s">
        <v>934</v>
      </c>
      <c r="E7" s="372"/>
      <c r="F7" s="372"/>
      <c r="G7" s="372"/>
      <c r="H7" s="372"/>
      <c r="I7" s="372"/>
      <c r="J7" s="372"/>
      <c r="K7" s="371" t="str">
        <f>D7</f>
        <v>Coût des marchandises fabriquées¹</v>
      </c>
      <c r="L7" s="366"/>
      <c r="M7" s="98"/>
      <c r="N7" s="369"/>
      <c r="O7" s="371" t="s">
        <v>436</v>
      </c>
      <c r="P7" s="371" t="s">
        <v>934</v>
      </c>
      <c r="Q7" s="373"/>
      <c r="R7" s="373"/>
      <c r="S7" s="373"/>
      <c r="T7" s="373"/>
      <c r="U7" s="373"/>
      <c r="V7" s="373"/>
      <c r="W7" s="371" t="str">
        <f>P7</f>
        <v>Coût des marchandises fabriquées¹</v>
      </c>
      <c r="X7" s="366"/>
    </row>
    <row r="8" spans="1:24" x14ac:dyDescent="0.25">
      <c r="A8" s="42"/>
      <c r="B8" s="369"/>
      <c r="C8" s="371"/>
      <c r="D8" s="371"/>
      <c r="E8" s="372"/>
      <c r="F8" s="372"/>
      <c r="G8" s="372"/>
      <c r="H8" s="372"/>
      <c r="I8" s="372"/>
      <c r="J8" s="372"/>
      <c r="K8" s="371"/>
      <c r="L8" s="366"/>
      <c r="M8" s="98"/>
      <c r="N8" s="369"/>
      <c r="O8" s="371"/>
      <c r="P8" s="371"/>
      <c r="Q8" s="373"/>
      <c r="R8" s="373"/>
      <c r="S8" s="373"/>
      <c r="T8" s="373"/>
      <c r="U8" s="373"/>
      <c r="V8" s="373"/>
      <c r="W8" s="371"/>
      <c r="X8" s="366"/>
    </row>
    <row r="9" spans="1:24" x14ac:dyDescent="0.25">
      <c r="B9" s="369"/>
      <c r="C9" s="374" t="s">
        <v>438</v>
      </c>
      <c r="D9" s="374" t="s">
        <v>438</v>
      </c>
      <c r="E9" s="372"/>
      <c r="F9" s="372"/>
      <c r="G9" s="372"/>
      <c r="H9" s="372"/>
      <c r="I9" s="372"/>
      <c r="J9" s="372"/>
      <c r="K9" s="374" t="str">
        <f>D9</f>
        <v>Tonnes</v>
      </c>
      <c r="L9" s="366"/>
      <c r="M9" s="98"/>
      <c r="N9" s="369"/>
      <c r="O9" s="374" t="str">
        <f>C9</f>
        <v>Tonnes</v>
      </c>
      <c r="P9" s="374" t="str">
        <f>D9</f>
        <v>Tonnes</v>
      </c>
      <c r="Q9" s="373"/>
      <c r="R9" s="373"/>
      <c r="S9" s="373"/>
      <c r="T9" s="373"/>
      <c r="U9" s="373"/>
      <c r="V9" s="373"/>
      <c r="W9" s="374" t="str">
        <f>P9</f>
        <v>Tonnes</v>
      </c>
      <c r="X9" s="366"/>
    </row>
    <row r="10" spans="1:24" x14ac:dyDescent="0.25">
      <c r="B10" s="369"/>
      <c r="C10" s="375" t="s">
        <v>439</v>
      </c>
      <c r="D10" s="375" t="s">
        <v>935</v>
      </c>
      <c r="E10" s="376">
        <f>'Pro 1'!G20</f>
        <v>0</v>
      </c>
      <c r="F10" s="376">
        <f>'Pro 1'!H20</f>
        <v>0</v>
      </c>
      <c r="G10" s="376">
        <f>'Pro 1'!I20</f>
        <v>0</v>
      </c>
      <c r="H10" s="376">
        <f>'Pro 1'!J20</f>
        <v>0</v>
      </c>
      <c r="I10" s="376">
        <f>'Pro 1'!K20</f>
        <v>0</v>
      </c>
      <c r="J10" s="377"/>
      <c r="K10" s="375" t="str">
        <f t="shared" ref="K10:K54" si="0">D10</f>
        <v xml:space="preserve">Volume des marchandises fabriquées </v>
      </c>
      <c r="L10" s="366"/>
      <c r="M10" s="98"/>
      <c r="N10" s="369"/>
      <c r="O10" s="375" t="str">
        <f>C10</f>
        <v xml:space="preserve">Volume of goods manufactured </v>
      </c>
      <c r="P10" s="375" t="str">
        <f>D10</f>
        <v xml:space="preserve">Volume des marchandises fabriquées </v>
      </c>
      <c r="Q10" s="376">
        <f>'Pro 1'!G21</f>
        <v>0</v>
      </c>
      <c r="R10" s="376">
        <f>'Pro 1'!H21</f>
        <v>0</v>
      </c>
      <c r="S10" s="376">
        <f>'Pro 1'!I21</f>
        <v>0</v>
      </c>
      <c r="T10" s="376">
        <f>'Pro 1'!J21</f>
        <v>0</v>
      </c>
      <c r="U10" s="376">
        <f>'Pro 1'!K21</f>
        <v>0</v>
      </c>
      <c r="V10" s="377"/>
      <c r="W10" s="375" t="str">
        <f t="shared" ref="W10:W54" si="1">P10</f>
        <v xml:space="preserve">Volume des marchandises fabriquées </v>
      </c>
      <c r="X10" s="366"/>
    </row>
    <row r="11" spans="1:24" x14ac:dyDescent="0.25">
      <c r="B11" s="378"/>
      <c r="C11" s="379"/>
      <c r="D11" s="379"/>
      <c r="E11" s="380"/>
      <c r="F11" s="380"/>
      <c r="G11" s="380"/>
      <c r="H11" s="380"/>
      <c r="I11" s="380"/>
      <c r="J11" s="381"/>
      <c r="K11" s="379"/>
      <c r="L11" s="382"/>
      <c r="M11" s="383"/>
      <c r="N11" s="378"/>
      <c r="O11" s="379"/>
      <c r="P11" s="379"/>
      <c r="Q11" s="380"/>
      <c r="R11" s="380"/>
      <c r="S11" s="380"/>
      <c r="T11" s="380"/>
      <c r="U11" s="380"/>
      <c r="V11" s="381"/>
      <c r="W11" s="379"/>
      <c r="X11" s="382"/>
    </row>
    <row r="12" spans="1:24" x14ac:dyDescent="0.25">
      <c r="B12" s="369"/>
      <c r="C12" s="374" t="s">
        <v>437</v>
      </c>
      <c r="D12" s="374" t="s">
        <v>936</v>
      </c>
      <c r="E12" s="384"/>
      <c r="F12" s="384"/>
      <c r="G12" s="384"/>
      <c r="H12" s="384"/>
      <c r="I12" s="384"/>
      <c r="J12" s="377"/>
      <c r="K12" s="374" t="str">
        <f t="shared" si="0"/>
        <v>000 $</v>
      </c>
      <c r="L12" s="366"/>
      <c r="M12" s="98"/>
      <c r="N12" s="369"/>
      <c r="O12" s="374" t="str">
        <f t="shared" ref="O12:P18" si="2">C12</f>
        <v>$000</v>
      </c>
      <c r="P12" s="374" t="str">
        <f t="shared" si="2"/>
        <v>000 $</v>
      </c>
      <c r="Q12" s="384"/>
      <c r="R12" s="384"/>
      <c r="S12" s="384"/>
      <c r="T12" s="384"/>
      <c r="U12" s="384"/>
      <c r="V12" s="377"/>
      <c r="W12" s="374" t="str">
        <f t="shared" si="1"/>
        <v>000 $</v>
      </c>
      <c r="X12" s="366"/>
    </row>
    <row r="13" spans="1:24" x14ac:dyDescent="0.25">
      <c r="B13" s="369"/>
      <c r="C13" s="385" t="s">
        <v>164</v>
      </c>
      <c r="D13" s="385" t="s">
        <v>73</v>
      </c>
      <c r="E13" s="376">
        <f>'Pro 3'!G24/1000</f>
        <v>0</v>
      </c>
      <c r="F13" s="376">
        <f>'Pro 3'!H24/1000</f>
        <v>0</v>
      </c>
      <c r="G13" s="376">
        <f>'Pro 3'!I24/1000</f>
        <v>0</v>
      </c>
      <c r="H13" s="376">
        <f>'Pro 3'!J24/1000</f>
        <v>0</v>
      </c>
      <c r="I13" s="376">
        <f>'Pro 3'!K24/1000</f>
        <v>0</v>
      </c>
      <c r="J13" s="377"/>
      <c r="K13" s="385" t="str">
        <f t="shared" si="0"/>
        <v>Stock d'ouverture</v>
      </c>
      <c r="L13" s="366"/>
      <c r="M13" s="98"/>
      <c r="N13" s="369"/>
      <c r="O13" s="385" t="str">
        <f t="shared" si="2"/>
        <v>Beginning inventory</v>
      </c>
      <c r="P13" s="385" t="str">
        <f t="shared" si="2"/>
        <v>Stock d'ouverture</v>
      </c>
      <c r="Q13" s="376">
        <f>'Pro 3'!G49/1000</f>
        <v>0</v>
      </c>
      <c r="R13" s="376">
        <f>'Pro 3'!H49/1000</f>
        <v>0</v>
      </c>
      <c r="S13" s="376">
        <f>'Pro 3'!I49/1000</f>
        <v>0</v>
      </c>
      <c r="T13" s="376">
        <f>'Pro 3'!J49/1000</f>
        <v>0</v>
      </c>
      <c r="U13" s="376">
        <f>'Pro 3'!K49/1000</f>
        <v>0</v>
      </c>
      <c r="V13" s="377"/>
      <c r="W13" s="385" t="str">
        <f t="shared" si="1"/>
        <v>Stock d'ouverture</v>
      </c>
      <c r="X13" s="366"/>
    </row>
    <row r="14" spans="1:24" x14ac:dyDescent="0.25">
      <c r="B14" s="369"/>
      <c r="C14" s="385" t="s">
        <v>441</v>
      </c>
      <c r="D14" s="385" t="s">
        <v>937</v>
      </c>
      <c r="E14" s="376">
        <f>'Pro 3'!G29/1000</f>
        <v>0</v>
      </c>
      <c r="F14" s="376">
        <f>'Pro 3'!H29/1000</f>
        <v>0</v>
      </c>
      <c r="G14" s="376">
        <f>'Pro 3'!I29/1000</f>
        <v>0</v>
      </c>
      <c r="H14" s="376">
        <f>'Pro 3'!J29/1000</f>
        <v>0</v>
      </c>
      <c r="I14" s="376">
        <f>'Pro 3'!K29/1000</f>
        <v>0</v>
      </c>
      <c r="J14" s="377"/>
      <c r="K14" s="385" t="str">
        <f t="shared" si="0"/>
        <v>Matériaux directs utilisés</v>
      </c>
      <c r="L14" s="366"/>
      <c r="M14" s="98"/>
      <c r="N14" s="369"/>
      <c r="O14" s="385" t="str">
        <f t="shared" si="2"/>
        <v xml:space="preserve">Direct materials used </v>
      </c>
      <c r="P14" s="385" t="str">
        <f t="shared" si="2"/>
        <v>Matériaux directs utilisés</v>
      </c>
      <c r="Q14" s="376">
        <f>'Pro 3'!G54/1000</f>
        <v>0</v>
      </c>
      <c r="R14" s="376">
        <f>'Pro 3'!H54/1000</f>
        <v>0</v>
      </c>
      <c r="S14" s="376">
        <f>'Pro 3'!I54/1000</f>
        <v>0</v>
      </c>
      <c r="T14" s="376">
        <f>'Pro 3'!J54/1000</f>
        <v>0</v>
      </c>
      <c r="U14" s="376">
        <f>'Pro 3'!K54/1000</f>
        <v>0</v>
      </c>
      <c r="V14" s="377"/>
      <c r="W14" s="385" t="str">
        <f t="shared" si="1"/>
        <v>Matériaux directs utilisés</v>
      </c>
      <c r="X14" s="366"/>
    </row>
    <row r="15" spans="1:24" x14ac:dyDescent="0.25">
      <c r="B15" s="369"/>
      <c r="C15" s="385" t="s">
        <v>442</v>
      </c>
      <c r="D15" s="385" t="s">
        <v>67</v>
      </c>
      <c r="E15" s="376">
        <f>'Pro 3'!G30/1000</f>
        <v>0</v>
      </c>
      <c r="F15" s="376">
        <f>'Pro 3'!H30/1000</f>
        <v>0</v>
      </c>
      <c r="G15" s="376">
        <f>'Pro 3'!I30/1000</f>
        <v>0</v>
      </c>
      <c r="H15" s="376">
        <f>'Pro 3'!J30/1000</f>
        <v>0</v>
      </c>
      <c r="I15" s="376">
        <f>'Pro 3'!K30/1000</f>
        <v>0</v>
      </c>
      <c r="J15" s="377"/>
      <c r="K15" s="385" t="str">
        <f t="shared" si="0"/>
        <v>Emploi direct</v>
      </c>
      <c r="L15" s="366"/>
      <c r="M15" s="98"/>
      <c r="N15" s="369"/>
      <c r="O15" s="385" t="str">
        <f t="shared" si="2"/>
        <v>Direct labour</v>
      </c>
      <c r="P15" s="385" t="str">
        <f t="shared" si="2"/>
        <v>Emploi direct</v>
      </c>
      <c r="Q15" s="376">
        <f>'Pro 3'!G55/1000</f>
        <v>0</v>
      </c>
      <c r="R15" s="376">
        <f>'Pro 3'!H55/1000</f>
        <v>0</v>
      </c>
      <c r="S15" s="376">
        <f>'Pro 3'!I55/1000</f>
        <v>0</v>
      </c>
      <c r="T15" s="376">
        <f>'Pro 3'!J55/1000</f>
        <v>0</v>
      </c>
      <c r="U15" s="376">
        <f>'Pro 3'!K55/1000</f>
        <v>0</v>
      </c>
      <c r="V15" s="377"/>
      <c r="W15" s="385" t="str">
        <f t="shared" si="1"/>
        <v>Emploi direct</v>
      </c>
      <c r="X15" s="366"/>
    </row>
    <row r="16" spans="1:24" x14ac:dyDescent="0.25">
      <c r="B16" s="369"/>
      <c r="C16" s="385" t="s">
        <v>419</v>
      </c>
      <c r="D16" s="385" t="s">
        <v>938</v>
      </c>
      <c r="E16" s="376">
        <f>'Pro 3'!G31/1000</f>
        <v>0</v>
      </c>
      <c r="F16" s="376">
        <f>'Pro 3'!H31/1000</f>
        <v>0</v>
      </c>
      <c r="G16" s="376">
        <f>'Pro 3'!I31/1000</f>
        <v>0</v>
      </c>
      <c r="H16" s="376">
        <f>'Pro 3'!J31/1000</f>
        <v>0</v>
      </c>
      <c r="I16" s="376">
        <f>'Pro 3'!K31/1000</f>
        <v>0</v>
      </c>
      <c r="J16" s="377"/>
      <c r="K16" s="385" t="str">
        <f t="shared" si="0"/>
        <v>Coûts indirects de production</v>
      </c>
      <c r="L16" s="366"/>
      <c r="M16" s="98"/>
      <c r="N16" s="369"/>
      <c r="O16" s="385" t="str">
        <f t="shared" si="2"/>
        <v xml:space="preserve">Factory overhead </v>
      </c>
      <c r="P16" s="385" t="str">
        <f t="shared" si="2"/>
        <v>Coûts indirects de production</v>
      </c>
      <c r="Q16" s="376">
        <f>'Pro 3'!G56/1000</f>
        <v>0</v>
      </c>
      <c r="R16" s="376">
        <f>'Pro 3'!H56/1000</f>
        <v>0</v>
      </c>
      <c r="S16" s="376">
        <f>'Pro 3'!I56/1000</f>
        <v>0</v>
      </c>
      <c r="T16" s="376">
        <f>'Pro 3'!J56/1000</f>
        <v>0</v>
      </c>
      <c r="U16" s="376">
        <f>'Pro 3'!K56/1000</f>
        <v>0</v>
      </c>
      <c r="V16" s="377"/>
      <c r="W16" s="385" t="str">
        <f t="shared" si="1"/>
        <v>Coûts indirects de production</v>
      </c>
      <c r="X16" s="366"/>
    </row>
    <row r="17" spans="2:24" x14ac:dyDescent="0.25">
      <c r="B17" s="369"/>
      <c r="C17" s="385" t="s">
        <v>444</v>
      </c>
      <c r="D17" s="385" t="s">
        <v>939</v>
      </c>
      <c r="E17" s="376">
        <f>'Pro 3'!G32/1000</f>
        <v>0</v>
      </c>
      <c r="F17" s="376">
        <f>'Pro 3'!H32/1000</f>
        <v>0</v>
      </c>
      <c r="G17" s="376">
        <f>'Pro 3'!I32/1000</f>
        <v>0</v>
      </c>
      <c r="H17" s="376">
        <f>'Pro 3'!J32/1000</f>
        <v>0</v>
      </c>
      <c r="I17" s="376">
        <f>'Pro 3'!K32/1000</f>
        <v>0</v>
      </c>
      <c r="J17" s="377"/>
      <c r="K17" s="385" t="str">
        <f t="shared" si="0"/>
        <v>Moins : Stock de clôture</v>
      </c>
      <c r="L17" s="366"/>
      <c r="M17" s="98"/>
      <c r="N17" s="369"/>
      <c r="O17" s="385" t="str">
        <f t="shared" si="2"/>
        <v>Less: ending inventory</v>
      </c>
      <c r="P17" s="385" t="str">
        <f t="shared" si="2"/>
        <v>Moins : Stock de clôture</v>
      </c>
      <c r="Q17" s="376">
        <f>'Pro 3'!G57/1000</f>
        <v>0</v>
      </c>
      <c r="R17" s="376">
        <f>'Pro 3'!H57/1000</f>
        <v>0</v>
      </c>
      <c r="S17" s="376">
        <f>'Pro 3'!I57/1000</f>
        <v>0</v>
      </c>
      <c r="T17" s="376">
        <f>'Pro 3'!J57/1000</f>
        <v>0</v>
      </c>
      <c r="U17" s="376">
        <f>'Pro 3'!K57/1000</f>
        <v>0</v>
      </c>
      <c r="V17" s="377"/>
      <c r="W17" s="385" t="str">
        <f t="shared" si="1"/>
        <v>Moins : Stock de clôture</v>
      </c>
      <c r="X17" s="366"/>
    </row>
    <row r="18" spans="2:24" x14ac:dyDescent="0.25">
      <c r="B18" s="369"/>
      <c r="C18" s="386" t="s">
        <v>446</v>
      </c>
      <c r="D18" s="386" t="s">
        <v>253</v>
      </c>
      <c r="E18" s="387">
        <f>(E13+E14+E15+E16)-E17</f>
        <v>0</v>
      </c>
      <c r="F18" s="387">
        <f t="shared" ref="F18:I18" si="3">(F13+F14+F15+F16)-F17</f>
        <v>0</v>
      </c>
      <c r="G18" s="387">
        <f t="shared" si="3"/>
        <v>0</v>
      </c>
      <c r="H18" s="387">
        <f t="shared" si="3"/>
        <v>0</v>
      </c>
      <c r="I18" s="387">
        <f t="shared" si="3"/>
        <v>0</v>
      </c>
      <c r="J18" s="381"/>
      <c r="K18" s="386" t="str">
        <f t="shared" si="0"/>
        <v>Coût des marchandises fabriquées</v>
      </c>
      <c r="L18" s="366"/>
      <c r="M18" s="98"/>
      <c r="N18" s="369"/>
      <c r="O18" s="386" t="str">
        <f t="shared" si="2"/>
        <v xml:space="preserve">Cost of goods manufactured </v>
      </c>
      <c r="P18" s="386" t="str">
        <f t="shared" si="2"/>
        <v>Coût des marchandises fabriquées</v>
      </c>
      <c r="Q18" s="387">
        <f>(Q13+Q14+Q15+Q16)-Q17</f>
        <v>0</v>
      </c>
      <c r="R18" s="387">
        <f t="shared" ref="R18:U18" si="4">(R13+R14+R15+R16)-R17</f>
        <v>0</v>
      </c>
      <c r="S18" s="387">
        <f t="shared" si="4"/>
        <v>0</v>
      </c>
      <c r="T18" s="387">
        <f t="shared" si="4"/>
        <v>0</v>
      </c>
      <c r="U18" s="387">
        <f t="shared" si="4"/>
        <v>0</v>
      </c>
      <c r="V18" s="381"/>
      <c r="W18" s="386" t="str">
        <f t="shared" si="1"/>
        <v>Coût des marchandises fabriquées</v>
      </c>
      <c r="X18" s="366"/>
    </row>
    <row r="19" spans="2:24" x14ac:dyDescent="0.25">
      <c r="B19" s="388"/>
      <c r="C19" s="364"/>
      <c r="D19" s="364"/>
      <c r="E19" s="380"/>
      <c r="F19" s="380"/>
      <c r="G19" s="380"/>
      <c r="H19" s="380"/>
      <c r="I19" s="380"/>
      <c r="J19" s="381"/>
      <c r="K19" s="364"/>
      <c r="L19" s="366"/>
      <c r="M19" s="98"/>
      <c r="N19" s="388"/>
      <c r="O19" s="364"/>
      <c r="P19" s="364"/>
      <c r="Q19" s="380"/>
      <c r="R19" s="380"/>
      <c r="S19" s="380"/>
      <c r="T19" s="380"/>
      <c r="U19" s="380"/>
      <c r="V19" s="381"/>
      <c r="W19" s="364"/>
      <c r="X19" s="366"/>
    </row>
    <row r="20" spans="2:24" x14ac:dyDescent="0.25">
      <c r="B20" s="369"/>
      <c r="C20" s="389" t="s">
        <v>940</v>
      </c>
      <c r="D20" s="389" t="s">
        <v>940</v>
      </c>
      <c r="E20" s="384"/>
      <c r="F20" s="384"/>
      <c r="G20" s="384"/>
      <c r="H20" s="384"/>
      <c r="I20" s="384"/>
      <c r="J20" s="377"/>
      <c r="K20" s="389" t="str">
        <f t="shared" si="0"/>
        <v>$/tonne</v>
      </c>
      <c r="L20" s="366"/>
      <c r="M20" s="98"/>
      <c r="N20" s="369"/>
      <c r="O20" s="389" t="str">
        <f>C20</f>
        <v>$/tonne</v>
      </c>
      <c r="P20" s="389" t="str">
        <f t="shared" ref="P20" si="5">D20</f>
        <v>$/tonne</v>
      </c>
      <c r="Q20" s="390"/>
      <c r="R20" s="384"/>
      <c r="S20" s="384"/>
      <c r="T20" s="384"/>
      <c r="U20" s="384"/>
      <c r="V20" s="377"/>
      <c r="W20" s="389" t="str">
        <f t="shared" si="1"/>
        <v>$/tonne</v>
      </c>
      <c r="X20" s="366"/>
    </row>
    <row r="21" spans="2:24" x14ac:dyDescent="0.25">
      <c r="B21" s="369"/>
      <c r="C21" s="391" t="str">
        <f t="shared" ref="C21:D26" si="6">C13</f>
        <v>Beginning inventory</v>
      </c>
      <c r="D21" s="391" t="str">
        <f t="shared" si="6"/>
        <v>Stock d'ouverture</v>
      </c>
      <c r="E21" s="392">
        <f>IF(OR(E$10="N/A",E13="N/A"),"N/A",IF(E$10=0,0,IF(ISERROR(E13/E$10),0,E13/E$10)))*1000</f>
        <v>0</v>
      </c>
      <c r="F21" s="392">
        <f t="shared" ref="E21:I26" si="7">IF(OR(F$10="N/A",F13="N/A"),"N/A",IF(F$10=0,0,IF(ISERROR(F13/F$10),0,F13/F$10)))*1000</f>
        <v>0</v>
      </c>
      <c r="G21" s="392">
        <f t="shared" si="7"/>
        <v>0</v>
      </c>
      <c r="H21" s="392">
        <f t="shared" si="7"/>
        <v>0</v>
      </c>
      <c r="I21" s="392">
        <f t="shared" si="7"/>
        <v>0</v>
      </c>
      <c r="J21" s="377"/>
      <c r="K21" s="391" t="str">
        <f t="shared" si="0"/>
        <v>Stock d'ouverture</v>
      </c>
      <c r="L21" s="366"/>
      <c r="M21" s="98"/>
      <c r="N21" s="369"/>
      <c r="O21" s="391" t="str">
        <f t="shared" ref="O21:P26" si="8">O13</f>
        <v>Beginning inventory</v>
      </c>
      <c r="P21" s="391" t="str">
        <f t="shared" si="8"/>
        <v>Stock d'ouverture</v>
      </c>
      <c r="Q21" s="392">
        <f t="shared" ref="Q21:U26" si="9">IF(OR(Q$10="N/A",Q13="N/A"),"N/A",IF(Q$10=0,0,IF(ISERROR(Q13/Q$10),0,Q13/Q$10)))*1000</f>
        <v>0</v>
      </c>
      <c r="R21" s="392">
        <f t="shared" si="9"/>
        <v>0</v>
      </c>
      <c r="S21" s="392">
        <f t="shared" si="9"/>
        <v>0</v>
      </c>
      <c r="T21" s="392">
        <f t="shared" si="9"/>
        <v>0</v>
      </c>
      <c r="U21" s="392">
        <f t="shared" si="9"/>
        <v>0</v>
      </c>
      <c r="V21" s="377"/>
      <c r="W21" s="391" t="str">
        <f t="shared" si="1"/>
        <v>Stock d'ouverture</v>
      </c>
      <c r="X21" s="366"/>
    </row>
    <row r="22" spans="2:24" x14ac:dyDescent="0.25">
      <c r="B22" s="369"/>
      <c r="C22" s="391" t="str">
        <f t="shared" si="6"/>
        <v xml:space="preserve">Direct materials used </v>
      </c>
      <c r="D22" s="391" t="str">
        <f t="shared" si="6"/>
        <v>Matériaux directs utilisés</v>
      </c>
      <c r="E22" s="392">
        <f t="shared" si="7"/>
        <v>0</v>
      </c>
      <c r="F22" s="392">
        <f t="shared" si="7"/>
        <v>0</v>
      </c>
      <c r="G22" s="392">
        <f t="shared" si="7"/>
        <v>0</v>
      </c>
      <c r="H22" s="392">
        <f t="shared" si="7"/>
        <v>0</v>
      </c>
      <c r="I22" s="392">
        <f t="shared" si="7"/>
        <v>0</v>
      </c>
      <c r="J22" s="377"/>
      <c r="K22" s="391" t="str">
        <f t="shared" si="0"/>
        <v>Matériaux directs utilisés</v>
      </c>
      <c r="L22" s="366"/>
      <c r="M22" s="98"/>
      <c r="N22" s="369"/>
      <c r="O22" s="391" t="str">
        <f t="shared" si="8"/>
        <v xml:space="preserve">Direct materials used </v>
      </c>
      <c r="P22" s="391" t="str">
        <f t="shared" si="8"/>
        <v>Matériaux directs utilisés</v>
      </c>
      <c r="Q22" s="392">
        <f>IF(OR(Q$10="N/A",Q14="N/A"),"N/A",IF(Q$10=0,0,IF(ISERROR(Q14/Q$10),0,Q14/Q$10)))*1000</f>
        <v>0</v>
      </c>
      <c r="R22" s="392">
        <f t="shared" si="9"/>
        <v>0</v>
      </c>
      <c r="S22" s="392">
        <f t="shared" si="9"/>
        <v>0</v>
      </c>
      <c r="T22" s="392">
        <f t="shared" si="9"/>
        <v>0</v>
      </c>
      <c r="U22" s="392">
        <f t="shared" si="9"/>
        <v>0</v>
      </c>
      <c r="V22" s="377"/>
      <c r="W22" s="391" t="str">
        <f t="shared" si="1"/>
        <v>Matériaux directs utilisés</v>
      </c>
      <c r="X22" s="366"/>
    </row>
    <row r="23" spans="2:24" x14ac:dyDescent="0.25">
      <c r="B23" s="369"/>
      <c r="C23" s="391" t="str">
        <f t="shared" si="6"/>
        <v>Direct labour</v>
      </c>
      <c r="D23" s="391" t="str">
        <f t="shared" si="6"/>
        <v>Emploi direct</v>
      </c>
      <c r="E23" s="392">
        <f t="shared" si="7"/>
        <v>0</v>
      </c>
      <c r="F23" s="392">
        <f t="shared" si="7"/>
        <v>0</v>
      </c>
      <c r="G23" s="392">
        <f t="shared" si="7"/>
        <v>0</v>
      </c>
      <c r="H23" s="392">
        <f t="shared" si="7"/>
        <v>0</v>
      </c>
      <c r="I23" s="392">
        <f t="shared" si="7"/>
        <v>0</v>
      </c>
      <c r="J23" s="377"/>
      <c r="K23" s="391" t="str">
        <f t="shared" si="0"/>
        <v>Emploi direct</v>
      </c>
      <c r="L23" s="366"/>
      <c r="M23" s="98"/>
      <c r="N23" s="369"/>
      <c r="O23" s="391" t="str">
        <f t="shared" si="8"/>
        <v>Direct labour</v>
      </c>
      <c r="P23" s="391" t="str">
        <f t="shared" si="8"/>
        <v>Emploi direct</v>
      </c>
      <c r="Q23" s="392">
        <f t="shared" si="9"/>
        <v>0</v>
      </c>
      <c r="R23" s="392">
        <f t="shared" si="9"/>
        <v>0</v>
      </c>
      <c r="S23" s="392">
        <f t="shared" si="9"/>
        <v>0</v>
      </c>
      <c r="T23" s="392">
        <f t="shared" si="9"/>
        <v>0</v>
      </c>
      <c r="U23" s="392">
        <f t="shared" si="9"/>
        <v>0</v>
      </c>
      <c r="V23" s="377"/>
      <c r="W23" s="391" t="str">
        <f t="shared" si="1"/>
        <v>Emploi direct</v>
      </c>
      <c r="X23" s="366"/>
    </row>
    <row r="24" spans="2:24" x14ac:dyDescent="0.25">
      <c r="B24" s="369"/>
      <c r="C24" s="391" t="str">
        <f t="shared" si="6"/>
        <v xml:space="preserve">Factory overhead </v>
      </c>
      <c r="D24" s="391" t="str">
        <f t="shared" si="6"/>
        <v>Coûts indirects de production</v>
      </c>
      <c r="E24" s="392">
        <f t="shared" si="7"/>
        <v>0</v>
      </c>
      <c r="F24" s="392">
        <f t="shared" si="7"/>
        <v>0</v>
      </c>
      <c r="G24" s="392">
        <f t="shared" si="7"/>
        <v>0</v>
      </c>
      <c r="H24" s="392">
        <f t="shared" si="7"/>
        <v>0</v>
      </c>
      <c r="I24" s="392">
        <f t="shared" si="7"/>
        <v>0</v>
      </c>
      <c r="J24" s="377"/>
      <c r="K24" s="391" t="str">
        <f t="shared" si="0"/>
        <v>Coûts indirects de production</v>
      </c>
      <c r="L24" s="366"/>
      <c r="M24" s="98"/>
      <c r="N24" s="369"/>
      <c r="O24" s="391" t="str">
        <f t="shared" si="8"/>
        <v xml:space="preserve">Factory overhead </v>
      </c>
      <c r="P24" s="391" t="str">
        <f t="shared" si="8"/>
        <v>Coûts indirects de production</v>
      </c>
      <c r="Q24" s="392">
        <f t="shared" si="9"/>
        <v>0</v>
      </c>
      <c r="R24" s="392">
        <f t="shared" si="9"/>
        <v>0</v>
      </c>
      <c r="S24" s="392">
        <f t="shared" si="9"/>
        <v>0</v>
      </c>
      <c r="T24" s="392">
        <f t="shared" si="9"/>
        <v>0</v>
      </c>
      <c r="U24" s="392">
        <f t="shared" si="9"/>
        <v>0</v>
      </c>
      <c r="V24" s="377"/>
      <c r="W24" s="391" t="str">
        <f t="shared" si="1"/>
        <v>Coûts indirects de production</v>
      </c>
      <c r="X24" s="366"/>
    </row>
    <row r="25" spans="2:24" x14ac:dyDescent="0.25">
      <c r="B25" s="369"/>
      <c r="C25" s="391" t="str">
        <f t="shared" si="6"/>
        <v>Less: ending inventory</v>
      </c>
      <c r="D25" s="391" t="str">
        <f t="shared" si="6"/>
        <v>Moins : Stock de clôture</v>
      </c>
      <c r="E25" s="392">
        <f t="shared" si="7"/>
        <v>0</v>
      </c>
      <c r="F25" s="392">
        <f t="shared" si="7"/>
        <v>0</v>
      </c>
      <c r="G25" s="392">
        <f t="shared" si="7"/>
        <v>0</v>
      </c>
      <c r="H25" s="392">
        <f t="shared" si="7"/>
        <v>0</v>
      </c>
      <c r="I25" s="392">
        <f t="shared" si="7"/>
        <v>0</v>
      </c>
      <c r="J25" s="377"/>
      <c r="K25" s="391" t="str">
        <f t="shared" si="0"/>
        <v>Moins : Stock de clôture</v>
      </c>
      <c r="L25" s="366"/>
      <c r="M25" s="98"/>
      <c r="N25" s="369"/>
      <c r="O25" s="391" t="str">
        <f t="shared" si="8"/>
        <v>Less: ending inventory</v>
      </c>
      <c r="P25" s="391" t="str">
        <f t="shared" si="8"/>
        <v>Moins : Stock de clôture</v>
      </c>
      <c r="Q25" s="392">
        <f t="shared" si="9"/>
        <v>0</v>
      </c>
      <c r="R25" s="392">
        <f t="shared" si="9"/>
        <v>0</v>
      </c>
      <c r="S25" s="392">
        <f t="shared" si="9"/>
        <v>0</v>
      </c>
      <c r="T25" s="392">
        <f t="shared" si="9"/>
        <v>0</v>
      </c>
      <c r="U25" s="392">
        <f t="shared" si="9"/>
        <v>0</v>
      </c>
      <c r="V25" s="377"/>
      <c r="W25" s="391" t="str">
        <f t="shared" si="1"/>
        <v>Moins : Stock de clôture</v>
      </c>
      <c r="X25" s="366"/>
    </row>
    <row r="26" spans="2:24" x14ac:dyDescent="0.25">
      <c r="B26" s="369"/>
      <c r="C26" s="386" t="str">
        <f t="shared" si="6"/>
        <v xml:space="preserve">Cost of goods manufactured </v>
      </c>
      <c r="D26" s="386" t="str">
        <f t="shared" si="6"/>
        <v>Coût des marchandises fabriquées</v>
      </c>
      <c r="E26" s="387">
        <f t="shared" si="7"/>
        <v>0</v>
      </c>
      <c r="F26" s="387">
        <f t="shared" si="7"/>
        <v>0</v>
      </c>
      <c r="G26" s="387">
        <f t="shared" si="7"/>
        <v>0</v>
      </c>
      <c r="H26" s="387">
        <f t="shared" si="7"/>
        <v>0</v>
      </c>
      <c r="I26" s="387">
        <f t="shared" si="7"/>
        <v>0</v>
      </c>
      <c r="J26" s="381"/>
      <c r="K26" s="386" t="str">
        <f t="shared" si="0"/>
        <v>Coût des marchandises fabriquées</v>
      </c>
      <c r="L26" s="366"/>
      <c r="M26" s="98"/>
      <c r="N26" s="369"/>
      <c r="O26" s="386" t="str">
        <f t="shared" si="8"/>
        <v xml:space="preserve">Cost of goods manufactured </v>
      </c>
      <c r="P26" s="386" t="str">
        <f t="shared" si="8"/>
        <v>Coût des marchandises fabriquées</v>
      </c>
      <c r="Q26" s="387">
        <f t="shared" si="9"/>
        <v>0</v>
      </c>
      <c r="R26" s="387">
        <f t="shared" si="9"/>
        <v>0</v>
      </c>
      <c r="S26" s="387">
        <f t="shared" si="9"/>
        <v>0</v>
      </c>
      <c r="T26" s="387">
        <f t="shared" si="9"/>
        <v>0</v>
      </c>
      <c r="U26" s="387">
        <f t="shared" si="9"/>
        <v>0</v>
      </c>
      <c r="V26" s="381"/>
      <c r="W26" s="386" t="str">
        <f t="shared" si="1"/>
        <v>Coût des marchandises fabriquées</v>
      </c>
      <c r="X26" s="366"/>
    </row>
    <row r="27" spans="2:24" x14ac:dyDescent="0.25">
      <c r="B27" s="388"/>
      <c r="C27" s="364"/>
      <c r="D27" s="364"/>
      <c r="E27" s="380"/>
      <c r="F27" s="380"/>
      <c r="G27" s="380"/>
      <c r="H27" s="380"/>
      <c r="I27" s="380"/>
      <c r="J27" s="381"/>
      <c r="K27" s="364"/>
      <c r="L27" s="366"/>
      <c r="M27" s="98"/>
      <c r="N27" s="388"/>
      <c r="O27" s="364"/>
      <c r="P27" s="364"/>
      <c r="Q27" s="380"/>
      <c r="R27" s="380"/>
      <c r="S27" s="380"/>
      <c r="T27" s="380"/>
      <c r="U27" s="380"/>
      <c r="V27" s="381"/>
      <c r="W27" s="364"/>
      <c r="X27" s="366"/>
    </row>
    <row r="28" spans="2:24" x14ac:dyDescent="0.25">
      <c r="B28" s="388"/>
      <c r="C28" s="371" t="s">
        <v>447</v>
      </c>
      <c r="D28" s="371" t="s">
        <v>941</v>
      </c>
      <c r="E28" s="380"/>
      <c r="F28" s="380"/>
      <c r="G28" s="380"/>
      <c r="H28" s="380"/>
      <c r="I28" s="380"/>
      <c r="J28" s="381"/>
      <c r="K28" s="371" t="str">
        <f t="shared" si="0"/>
        <v>État des résultats</v>
      </c>
      <c r="L28" s="366"/>
      <c r="M28" s="98"/>
      <c r="N28" s="388"/>
      <c r="O28" s="371" t="str">
        <f>C28</f>
        <v>Income statement</v>
      </c>
      <c r="P28" s="371" t="str">
        <f>D28</f>
        <v>État des résultats</v>
      </c>
      <c r="Q28" s="380"/>
      <c r="R28" s="380"/>
      <c r="S28" s="380"/>
      <c r="T28" s="380"/>
      <c r="U28" s="380"/>
      <c r="V28" s="381"/>
      <c r="W28" s="371" t="str">
        <f t="shared" si="1"/>
        <v>État des résultats</v>
      </c>
      <c r="X28" s="366"/>
    </row>
    <row r="29" spans="2:24" x14ac:dyDescent="0.25">
      <c r="B29" s="388"/>
      <c r="C29" s="371"/>
      <c r="D29" s="371"/>
      <c r="E29" s="380"/>
      <c r="F29" s="380"/>
      <c r="G29" s="380"/>
      <c r="H29" s="380"/>
      <c r="I29" s="380"/>
      <c r="J29" s="381"/>
      <c r="K29" s="371"/>
      <c r="L29" s="366"/>
      <c r="M29" s="98"/>
      <c r="N29" s="388"/>
      <c r="O29" s="371"/>
      <c r="P29" s="371"/>
      <c r="Q29" s="380"/>
      <c r="R29" s="380"/>
      <c r="S29" s="380"/>
      <c r="T29" s="380"/>
      <c r="U29" s="380"/>
      <c r="V29" s="381"/>
      <c r="W29" s="371"/>
      <c r="X29" s="366"/>
    </row>
    <row r="30" spans="2:24" x14ac:dyDescent="0.25">
      <c r="B30" s="369"/>
      <c r="C30" s="393" t="s">
        <v>448</v>
      </c>
      <c r="D30" s="393" t="s">
        <v>942</v>
      </c>
      <c r="E30" s="376">
        <f>SUM('Pro 2'!G28,'Pro 2'!G31,'Pro 2'!G34)</f>
        <v>0</v>
      </c>
      <c r="F30" s="376">
        <f>SUM('Pro 2'!H28,'Pro 2'!H31,'Pro 2'!H34)</f>
        <v>0</v>
      </c>
      <c r="G30" s="376">
        <f>SUM('Pro 2'!I28,'Pro 2'!I31,'Pro 2'!I34)</f>
        <v>0</v>
      </c>
      <c r="H30" s="376">
        <f>SUM('Pro 2'!J28,'Pro 2'!J31,'Pro 2'!J34)</f>
        <v>0</v>
      </c>
      <c r="I30" s="376">
        <f>SUM('Pro 2'!K28,'Pro 2'!K31,'Pro 2'!K34)</f>
        <v>0</v>
      </c>
      <c r="J30" s="377"/>
      <c r="K30" s="393" t="str">
        <f t="shared" si="0"/>
        <v>Volume de ventes nettes (tonnes)</v>
      </c>
      <c r="L30" s="366"/>
      <c r="M30" s="98"/>
      <c r="N30" s="369"/>
      <c r="O30" s="393" t="str">
        <f>C30</f>
        <v>Net sales volume (tonnes)</v>
      </c>
      <c r="P30" s="393" t="str">
        <f>D30</f>
        <v>Volume de ventes nettes (tonnes)</v>
      </c>
      <c r="Q30" s="376">
        <f>'Pro 2'!G40</f>
        <v>0</v>
      </c>
      <c r="R30" s="376">
        <f>'Pro 2'!H40</f>
        <v>0</v>
      </c>
      <c r="S30" s="376">
        <f>'Pro 2'!I40</f>
        <v>0</v>
      </c>
      <c r="T30" s="376">
        <f>'Pro 2'!J40</f>
        <v>0</v>
      </c>
      <c r="U30" s="376">
        <f>'Pro 2'!K40</f>
        <v>0</v>
      </c>
      <c r="V30" s="377"/>
      <c r="W30" s="393" t="str">
        <f t="shared" si="1"/>
        <v>Volume de ventes nettes (tonnes)</v>
      </c>
      <c r="X30" s="366"/>
    </row>
    <row r="31" spans="2:24" x14ac:dyDescent="0.25">
      <c r="B31" s="388"/>
      <c r="C31" s="371"/>
      <c r="D31" s="371"/>
      <c r="E31" s="380"/>
      <c r="F31" s="380"/>
      <c r="G31" s="380"/>
      <c r="H31" s="380"/>
      <c r="I31" s="380"/>
      <c r="J31" s="381"/>
      <c r="K31" s="371"/>
      <c r="L31" s="366"/>
      <c r="M31" s="98"/>
      <c r="N31" s="388"/>
      <c r="O31" s="371"/>
      <c r="P31" s="371"/>
      <c r="Q31" s="380"/>
      <c r="R31" s="380"/>
      <c r="S31" s="380"/>
      <c r="T31" s="380"/>
      <c r="U31" s="380"/>
      <c r="V31" s="381"/>
      <c r="W31" s="371"/>
      <c r="X31" s="366"/>
    </row>
    <row r="32" spans="2:24" x14ac:dyDescent="0.25">
      <c r="B32" s="369"/>
      <c r="C32" s="374" t="s">
        <v>437</v>
      </c>
      <c r="D32" s="374" t="s">
        <v>936</v>
      </c>
      <c r="E32" s="384"/>
      <c r="F32" s="384"/>
      <c r="G32" s="384"/>
      <c r="H32" s="384"/>
      <c r="I32" s="384"/>
      <c r="J32" s="377"/>
      <c r="K32" s="374" t="str">
        <f t="shared" si="0"/>
        <v>000 $</v>
      </c>
      <c r="L32" s="366"/>
      <c r="M32" s="98"/>
      <c r="N32" s="369"/>
      <c r="O32" s="374" t="str">
        <f t="shared" ref="O32:P42" si="10">C32</f>
        <v>$000</v>
      </c>
      <c r="P32" s="374" t="str">
        <f t="shared" si="10"/>
        <v>000 $</v>
      </c>
      <c r="Q32" s="384"/>
      <c r="R32" s="384"/>
      <c r="S32" s="384"/>
      <c r="T32" s="384"/>
      <c r="U32" s="384"/>
      <c r="V32" s="377"/>
      <c r="W32" s="374" t="str">
        <f t="shared" si="1"/>
        <v>000 $</v>
      </c>
      <c r="X32" s="366"/>
    </row>
    <row r="33" spans="2:24" x14ac:dyDescent="0.25">
      <c r="B33" s="388"/>
      <c r="C33" s="394" t="s">
        <v>373</v>
      </c>
      <c r="D33" s="394" t="s">
        <v>943</v>
      </c>
      <c r="E33" s="395">
        <f>'Pro 3'!G187/1000</f>
        <v>0</v>
      </c>
      <c r="F33" s="395">
        <f>'Pro 3'!H187/1000</f>
        <v>0</v>
      </c>
      <c r="G33" s="395">
        <f>'Pro 3'!I187/1000</f>
        <v>0</v>
      </c>
      <c r="H33" s="395">
        <f>'Pro 3'!J187/1000</f>
        <v>0</v>
      </c>
      <c r="I33" s="395">
        <f>'Pro 3'!K187/1000</f>
        <v>0</v>
      </c>
      <c r="J33" s="381"/>
      <c r="K33" s="394" t="str">
        <f t="shared" si="0"/>
        <v>Valeur des ventes nettes</v>
      </c>
      <c r="L33" s="366"/>
      <c r="M33" s="98"/>
      <c r="N33" s="388"/>
      <c r="O33" s="394" t="str">
        <f t="shared" si="10"/>
        <v>Net sales value</v>
      </c>
      <c r="P33" s="394" t="str">
        <f t="shared" si="10"/>
        <v>Valeur des ventes nettes</v>
      </c>
      <c r="Q33" s="395">
        <f>'Pro 3'!G211/1000</f>
        <v>0</v>
      </c>
      <c r="R33" s="395">
        <f>'Pro 3'!H211/1000</f>
        <v>0</v>
      </c>
      <c r="S33" s="395">
        <f>'Pro 3'!I211/1000</f>
        <v>0</v>
      </c>
      <c r="T33" s="395">
        <f>'Pro 3'!J211/1000</f>
        <v>0</v>
      </c>
      <c r="U33" s="395">
        <f>'Pro 3'!K211/1000</f>
        <v>0</v>
      </c>
      <c r="V33" s="381"/>
      <c r="W33" s="394" t="str">
        <f t="shared" si="1"/>
        <v>Valeur des ventes nettes</v>
      </c>
      <c r="X33" s="366"/>
    </row>
    <row r="34" spans="2:24" x14ac:dyDescent="0.25">
      <c r="B34" s="369"/>
      <c r="C34" s="396" t="s">
        <v>164</v>
      </c>
      <c r="D34" s="396" t="s">
        <v>73</v>
      </c>
      <c r="E34" s="395">
        <f>'Pro 3'!G188/1000</f>
        <v>0</v>
      </c>
      <c r="F34" s="395">
        <f>'Pro 3'!H188/1000</f>
        <v>0</v>
      </c>
      <c r="G34" s="395">
        <f>'Pro 3'!I188/1000</f>
        <v>0</v>
      </c>
      <c r="H34" s="395">
        <f>'Pro 3'!J188/1000</f>
        <v>0</v>
      </c>
      <c r="I34" s="395">
        <f>'Pro 3'!K188/1000</f>
        <v>0</v>
      </c>
      <c r="J34" s="377"/>
      <c r="K34" s="396" t="str">
        <f t="shared" si="0"/>
        <v>Stock d'ouverture</v>
      </c>
      <c r="L34" s="366"/>
      <c r="M34" s="98"/>
      <c r="N34" s="369"/>
      <c r="O34" s="396" t="str">
        <f t="shared" si="10"/>
        <v>Beginning inventory</v>
      </c>
      <c r="P34" s="396" t="str">
        <f t="shared" si="10"/>
        <v>Stock d'ouverture</v>
      </c>
      <c r="Q34" s="395">
        <f>'Pro 3'!G212/1000</f>
        <v>0</v>
      </c>
      <c r="R34" s="395">
        <f>'Pro 3'!H212/1000</f>
        <v>0</v>
      </c>
      <c r="S34" s="395">
        <f>'Pro 3'!I212/1000</f>
        <v>0</v>
      </c>
      <c r="T34" s="395">
        <f>'Pro 3'!J212/1000</f>
        <v>0</v>
      </c>
      <c r="U34" s="395">
        <f>'Pro 3'!K212/1000</f>
        <v>0</v>
      </c>
      <c r="V34" s="377"/>
      <c r="W34" s="396" t="str">
        <f t="shared" si="1"/>
        <v>Stock d'ouverture</v>
      </c>
      <c r="X34" s="366"/>
    </row>
    <row r="35" spans="2:24" x14ac:dyDescent="0.25">
      <c r="B35" s="369"/>
      <c r="C35" s="397" t="s">
        <v>446</v>
      </c>
      <c r="D35" s="397" t="s">
        <v>253</v>
      </c>
      <c r="E35" s="392">
        <f>E18</f>
        <v>0</v>
      </c>
      <c r="F35" s="392">
        <f t="shared" ref="F35:I35" si="11">F18</f>
        <v>0</v>
      </c>
      <c r="G35" s="392">
        <f t="shared" si="11"/>
        <v>0</v>
      </c>
      <c r="H35" s="392">
        <f t="shared" si="11"/>
        <v>0</v>
      </c>
      <c r="I35" s="392">
        <f t="shared" si="11"/>
        <v>0</v>
      </c>
      <c r="J35" s="377"/>
      <c r="K35" s="397" t="str">
        <f t="shared" si="0"/>
        <v>Coût des marchandises fabriquées</v>
      </c>
      <c r="L35" s="366"/>
      <c r="M35" s="98"/>
      <c r="N35" s="369"/>
      <c r="O35" s="397" t="str">
        <f t="shared" si="10"/>
        <v xml:space="preserve">Cost of goods manufactured </v>
      </c>
      <c r="P35" s="397" t="str">
        <f t="shared" si="10"/>
        <v>Coût des marchandises fabriquées</v>
      </c>
      <c r="Q35" s="392">
        <f>Q18</f>
        <v>0</v>
      </c>
      <c r="R35" s="392">
        <f t="shared" ref="R35:U35" si="12">R18</f>
        <v>0</v>
      </c>
      <c r="S35" s="392">
        <f t="shared" si="12"/>
        <v>0</v>
      </c>
      <c r="T35" s="392">
        <f t="shared" si="12"/>
        <v>0</v>
      </c>
      <c r="U35" s="392">
        <f t="shared" si="12"/>
        <v>0</v>
      </c>
      <c r="V35" s="377"/>
      <c r="W35" s="397" t="str">
        <f t="shared" si="1"/>
        <v>Coût des marchandises fabriquées</v>
      </c>
      <c r="X35" s="366"/>
    </row>
    <row r="36" spans="2:24" x14ac:dyDescent="0.25">
      <c r="B36" s="369"/>
      <c r="C36" s="397" t="s">
        <v>165</v>
      </c>
      <c r="D36" s="397" t="s">
        <v>591</v>
      </c>
      <c r="E36" s="376">
        <f>'Pro 3'!G190/1000</f>
        <v>0</v>
      </c>
      <c r="F36" s="376">
        <f>'Pro 3'!H190/1000</f>
        <v>0</v>
      </c>
      <c r="G36" s="376">
        <f>'Pro 3'!I190/1000</f>
        <v>0</v>
      </c>
      <c r="H36" s="376">
        <f>'Pro 3'!J190/1000</f>
        <v>0</v>
      </c>
      <c r="I36" s="376">
        <f>'Pro 3'!K190/1000</f>
        <v>0</v>
      </c>
      <c r="J36" s="377"/>
      <c r="K36" s="397" t="str">
        <f t="shared" si="0"/>
        <v>Stock de clôture</v>
      </c>
      <c r="L36" s="398"/>
      <c r="M36" s="399"/>
      <c r="N36" s="369"/>
      <c r="O36" s="397" t="str">
        <f t="shared" si="10"/>
        <v>Ending inventory</v>
      </c>
      <c r="P36" s="397" t="str">
        <f t="shared" si="10"/>
        <v>Stock de clôture</v>
      </c>
      <c r="Q36" s="376">
        <f>'Pro 3'!G214/1000</f>
        <v>0</v>
      </c>
      <c r="R36" s="376">
        <f>'Pro 3'!H214/1000</f>
        <v>0</v>
      </c>
      <c r="S36" s="376">
        <f>'Pro 3'!I214/1000</f>
        <v>0</v>
      </c>
      <c r="T36" s="376">
        <f>'Pro 3'!J214/1000</f>
        <v>0</v>
      </c>
      <c r="U36" s="376">
        <f>'Pro 3'!K214/1000</f>
        <v>0</v>
      </c>
      <c r="V36" s="377"/>
      <c r="W36" s="397" t="str">
        <f t="shared" si="1"/>
        <v>Stock de clôture</v>
      </c>
      <c r="X36" s="398"/>
    </row>
    <row r="37" spans="2:24" x14ac:dyDescent="0.25">
      <c r="B37" s="369"/>
      <c r="C37" s="397" t="s">
        <v>367</v>
      </c>
      <c r="D37" s="397" t="s">
        <v>48</v>
      </c>
      <c r="E37" s="392">
        <f t="shared" ref="E37:I37" si="13">(E34+E35)-E36</f>
        <v>0</v>
      </c>
      <c r="F37" s="392">
        <f t="shared" si="13"/>
        <v>0</v>
      </c>
      <c r="G37" s="392">
        <f t="shared" si="13"/>
        <v>0</v>
      </c>
      <c r="H37" s="392">
        <f t="shared" si="13"/>
        <v>0</v>
      </c>
      <c r="I37" s="392">
        <f t="shared" si="13"/>
        <v>0</v>
      </c>
      <c r="J37" s="377"/>
      <c r="K37" s="397" t="str">
        <f t="shared" si="0"/>
        <v>Coût des marchandises vendues</v>
      </c>
      <c r="L37" s="366"/>
      <c r="M37" s="98"/>
      <c r="N37" s="369"/>
      <c r="O37" s="397" t="str">
        <f t="shared" si="10"/>
        <v>Cost of goods sold</v>
      </c>
      <c r="P37" s="397" t="str">
        <f t="shared" si="10"/>
        <v>Coût des marchandises vendues</v>
      </c>
      <c r="Q37" s="392">
        <f>(Q34+Q35)-Q36</f>
        <v>0</v>
      </c>
      <c r="R37" s="392">
        <f t="shared" ref="R37:U37" si="14">(R34+R35)-R36</f>
        <v>0</v>
      </c>
      <c r="S37" s="392">
        <f t="shared" si="14"/>
        <v>0</v>
      </c>
      <c r="T37" s="392">
        <f t="shared" si="14"/>
        <v>0</v>
      </c>
      <c r="U37" s="392">
        <f t="shared" si="14"/>
        <v>0</v>
      </c>
      <c r="V37" s="377"/>
      <c r="W37" s="397" t="str">
        <f t="shared" si="1"/>
        <v>Coût des marchandises vendues</v>
      </c>
      <c r="X37" s="366"/>
    </row>
    <row r="38" spans="2:24" x14ac:dyDescent="0.25">
      <c r="B38" s="388"/>
      <c r="C38" s="394" t="s">
        <v>440</v>
      </c>
      <c r="D38" s="394" t="s">
        <v>944</v>
      </c>
      <c r="E38" s="387">
        <f t="shared" ref="E38:I38" si="15">E33-E37</f>
        <v>0</v>
      </c>
      <c r="F38" s="387">
        <f t="shared" si="15"/>
        <v>0</v>
      </c>
      <c r="G38" s="387">
        <f t="shared" si="15"/>
        <v>0</v>
      </c>
      <c r="H38" s="387">
        <f t="shared" si="15"/>
        <v>0</v>
      </c>
      <c r="I38" s="387">
        <f t="shared" si="15"/>
        <v>0</v>
      </c>
      <c r="J38" s="381"/>
      <c r="K38" s="394" t="str">
        <f t="shared" si="0"/>
        <v>Marge bénéficiaire brute (pertes)</v>
      </c>
      <c r="L38" s="398"/>
      <c r="M38" s="399"/>
      <c r="N38" s="388"/>
      <c r="O38" s="394" t="str">
        <f t="shared" si="10"/>
        <v>Gross margin (loss)</v>
      </c>
      <c r="P38" s="394" t="str">
        <f t="shared" si="10"/>
        <v>Marge bénéficiaire brute (pertes)</v>
      </c>
      <c r="Q38" s="387">
        <f>Q33-Q37</f>
        <v>0</v>
      </c>
      <c r="R38" s="387">
        <f t="shared" ref="R38:U38" si="16">R33-R37</f>
        <v>0</v>
      </c>
      <c r="S38" s="387">
        <f t="shared" si="16"/>
        <v>0</v>
      </c>
      <c r="T38" s="387">
        <f t="shared" si="16"/>
        <v>0</v>
      </c>
      <c r="U38" s="387">
        <f t="shared" si="16"/>
        <v>0</v>
      </c>
      <c r="V38" s="381"/>
      <c r="W38" s="394" t="str">
        <f t="shared" si="1"/>
        <v>Marge bénéficiaire brute (pertes)</v>
      </c>
      <c r="X38" s="398"/>
    </row>
    <row r="39" spans="2:24" ht="15" customHeight="1" x14ac:dyDescent="0.25">
      <c r="B39" s="369"/>
      <c r="C39" s="400" t="s">
        <v>370</v>
      </c>
      <c r="D39" s="400" t="s">
        <v>945</v>
      </c>
      <c r="E39" s="376">
        <f>'Pro 3'!G193/1000</f>
        <v>0</v>
      </c>
      <c r="F39" s="376">
        <f>'Pro 3'!H193/1000</f>
        <v>0</v>
      </c>
      <c r="G39" s="376">
        <f>'Pro 3'!I193/1000</f>
        <v>0</v>
      </c>
      <c r="H39" s="376">
        <f>'Pro 3'!J193/1000</f>
        <v>0</v>
      </c>
      <c r="I39" s="376">
        <f>'Pro 3'!K193/1000</f>
        <v>0</v>
      </c>
      <c r="J39" s="377"/>
      <c r="K39" s="400" t="str">
        <f t="shared" si="0"/>
        <v>Frais généraux, de vente et d’administration</v>
      </c>
      <c r="L39" s="366"/>
      <c r="M39" s="98"/>
      <c r="N39" s="369"/>
      <c r="O39" s="400" t="str">
        <f t="shared" si="10"/>
        <v>General, selling and administrative expenses</v>
      </c>
      <c r="P39" s="400" t="str">
        <f t="shared" si="10"/>
        <v>Frais généraux, de vente et d’administration</v>
      </c>
      <c r="Q39" s="376">
        <f>'Pro 3'!G217/1000</f>
        <v>0</v>
      </c>
      <c r="R39" s="376">
        <f>'Pro 3'!H217/1000</f>
        <v>0</v>
      </c>
      <c r="S39" s="376">
        <f>'Pro 3'!I217/1000</f>
        <v>0</v>
      </c>
      <c r="T39" s="376">
        <f>'Pro 3'!J217/1000</f>
        <v>0</v>
      </c>
      <c r="U39" s="376">
        <f>'Pro 3'!K217/1000</f>
        <v>0</v>
      </c>
      <c r="V39" s="377"/>
      <c r="W39" s="400" t="str">
        <f t="shared" si="1"/>
        <v>Frais généraux, de vente et d’administration</v>
      </c>
      <c r="X39" s="366"/>
    </row>
    <row r="40" spans="2:24" x14ac:dyDescent="0.25">
      <c r="B40" s="369"/>
      <c r="C40" s="397" t="s">
        <v>369</v>
      </c>
      <c r="D40" s="397" t="s">
        <v>54</v>
      </c>
      <c r="E40" s="376">
        <f>'Pro 3'!G194/1000</f>
        <v>0</v>
      </c>
      <c r="F40" s="376">
        <f>'Pro 3'!H194/1000</f>
        <v>0</v>
      </c>
      <c r="G40" s="376">
        <f>'Pro 3'!I194/1000</f>
        <v>0</v>
      </c>
      <c r="H40" s="376">
        <f>'Pro 3'!J194/1000</f>
        <v>0</v>
      </c>
      <c r="I40" s="376">
        <f>'Pro 3'!K194/1000</f>
        <v>0</v>
      </c>
      <c r="J40" s="377"/>
      <c r="K40" s="397" t="str">
        <f t="shared" si="0"/>
        <v>Charges financières</v>
      </c>
      <c r="L40" s="366"/>
      <c r="M40" s="98"/>
      <c r="N40" s="369"/>
      <c r="O40" s="397" t="str">
        <f t="shared" si="10"/>
        <v>Financial expenses</v>
      </c>
      <c r="P40" s="397" t="str">
        <f t="shared" si="10"/>
        <v>Charges financières</v>
      </c>
      <c r="Q40" s="376">
        <f>'Pro 3'!G218/1000</f>
        <v>0</v>
      </c>
      <c r="R40" s="376">
        <f>'Pro 3'!H218/1000</f>
        <v>0</v>
      </c>
      <c r="S40" s="376">
        <f>'Pro 3'!I218/1000</f>
        <v>0</v>
      </c>
      <c r="T40" s="376">
        <f>'Pro 3'!J218/1000</f>
        <v>0</v>
      </c>
      <c r="U40" s="376">
        <f>'Pro 3'!K218/1000</f>
        <v>0</v>
      </c>
      <c r="V40" s="377"/>
      <c r="W40" s="397" t="str">
        <f t="shared" si="1"/>
        <v>Charges financières</v>
      </c>
      <c r="X40" s="366"/>
    </row>
    <row r="41" spans="2:24" x14ac:dyDescent="0.25">
      <c r="B41" s="369"/>
      <c r="C41" s="397" t="s">
        <v>443</v>
      </c>
      <c r="D41" s="397" t="s">
        <v>115</v>
      </c>
      <c r="E41" s="376">
        <f>'Pro 3'!G195/1000</f>
        <v>0</v>
      </c>
      <c r="F41" s="376">
        <f>'Pro 3'!H195/1000</f>
        <v>0</v>
      </c>
      <c r="G41" s="376">
        <f>'Pro 3'!I195/1000</f>
        <v>0</v>
      </c>
      <c r="H41" s="376">
        <f>'Pro 3'!J195/1000</f>
        <v>0</v>
      </c>
      <c r="I41" s="376">
        <f>'Pro 3'!K195/1000</f>
        <v>0</v>
      </c>
      <c r="J41" s="377"/>
      <c r="K41" s="397" t="str">
        <f>D41</f>
        <v>Autres dépenses</v>
      </c>
      <c r="L41" s="366"/>
      <c r="M41" s="98"/>
      <c r="N41" s="369"/>
      <c r="O41" s="397" t="str">
        <f>C41</f>
        <v>Other expenses</v>
      </c>
      <c r="P41" s="397" t="str">
        <f>D41</f>
        <v>Autres dépenses</v>
      </c>
      <c r="Q41" s="376">
        <f>'Pro 3'!G219/1000</f>
        <v>0</v>
      </c>
      <c r="R41" s="376">
        <f>'Pro 3'!H219/1000</f>
        <v>0</v>
      </c>
      <c r="S41" s="376">
        <f>'Pro 3'!I219/1000</f>
        <v>0</v>
      </c>
      <c r="T41" s="376">
        <f>'Pro 3'!J219/1000</f>
        <v>0</v>
      </c>
      <c r="U41" s="376">
        <f>'Pro 3'!K219/1000</f>
        <v>0</v>
      </c>
      <c r="V41" s="377"/>
      <c r="W41" s="397" t="str">
        <f>P41</f>
        <v>Autres dépenses</v>
      </c>
      <c r="X41" s="366"/>
    </row>
    <row r="42" spans="2:24" x14ac:dyDescent="0.25">
      <c r="B42" s="388"/>
      <c r="C42" s="394" t="s">
        <v>445</v>
      </c>
      <c r="D42" s="394" t="s">
        <v>946</v>
      </c>
      <c r="E42" s="387">
        <f>E38-E39-E40-E41</f>
        <v>0</v>
      </c>
      <c r="F42" s="387">
        <f>F38-F39-F40-F41</f>
        <v>0</v>
      </c>
      <c r="G42" s="387">
        <f>G38-G39-G40-G41</f>
        <v>0</v>
      </c>
      <c r="H42" s="387">
        <f>H38-H39-H40-H41</f>
        <v>0</v>
      </c>
      <c r="I42" s="387">
        <f>I38-I39-I40-I41</f>
        <v>0</v>
      </c>
      <c r="J42" s="381"/>
      <c r="K42" s="394" t="str">
        <f t="shared" si="0"/>
        <v>Revenus nets (pertes) avant impôt</v>
      </c>
      <c r="L42" s="366"/>
      <c r="M42" s="98"/>
      <c r="N42" s="388"/>
      <c r="O42" s="394" t="str">
        <f t="shared" si="10"/>
        <v>Net income (loss) before taxes</v>
      </c>
      <c r="P42" s="394" t="str">
        <f t="shared" si="10"/>
        <v>Revenus nets (pertes) avant impôt</v>
      </c>
      <c r="Q42" s="387">
        <f>Q38-Q39-Q40-Q41</f>
        <v>0</v>
      </c>
      <c r="R42" s="387">
        <f>R38-R39-R40-R41</f>
        <v>0</v>
      </c>
      <c r="S42" s="387">
        <f>S38-S39-S40-S41</f>
        <v>0</v>
      </c>
      <c r="T42" s="387">
        <f>T38-T39-T40-T41</f>
        <v>0</v>
      </c>
      <c r="U42" s="387">
        <f>U38-U39-U40-U41</f>
        <v>0</v>
      </c>
      <c r="V42" s="381"/>
      <c r="W42" s="394" t="str">
        <f t="shared" si="1"/>
        <v>Revenus nets (pertes) avant impôt</v>
      </c>
      <c r="X42" s="366"/>
    </row>
    <row r="43" spans="2:24" x14ac:dyDescent="0.25">
      <c r="B43" s="388"/>
      <c r="C43" s="364"/>
      <c r="D43" s="364"/>
      <c r="E43" s="380"/>
      <c r="F43" s="380"/>
      <c r="G43" s="380"/>
      <c r="H43" s="380"/>
      <c r="I43" s="380"/>
      <c r="J43" s="381"/>
      <c r="K43" s="364"/>
      <c r="L43" s="366"/>
      <c r="M43" s="98"/>
      <c r="N43" s="388"/>
      <c r="O43" s="364"/>
      <c r="P43" s="364"/>
      <c r="Q43" s="380"/>
      <c r="R43" s="380"/>
      <c r="S43" s="380"/>
      <c r="T43" s="380"/>
      <c r="U43" s="380"/>
      <c r="V43" s="381"/>
      <c r="W43" s="364"/>
      <c r="X43" s="366"/>
    </row>
    <row r="44" spans="2:24" x14ac:dyDescent="0.25">
      <c r="B44" s="369"/>
      <c r="C44" s="389" t="str">
        <f>C20</f>
        <v>$/tonne</v>
      </c>
      <c r="D44" s="389" t="str">
        <f>D20</f>
        <v>$/tonne</v>
      </c>
      <c r="E44" s="384"/>
      <c r="F44" s="384"/>
      <c r="G44" s="384"/>
      <c r="H44" s="384"/>
      <c r="I44" s="384"/>
      <c r="J44" s="377"/>
      <c r="K44" s="389" t="str">
        <f t="shared" si="0"/>
        <v>$/tonne</v>
      </c>
      <c r="L44" s="366"/>
      <c r="M44" s="98"/>
      <c r="N44" s="369"/>
      <c r="O44" s="389" t="str">
        <f>O20</f>
        <v>$/tonne</v>
      </c>
      <c r="P44" s="389" t="str">
        <f>P20</f>
        <v>$/tonne</v>
      </c>
      <c r="Q44" s="384"/>
      <c r="R44" s="384"/>
      <c r="S44" s="384"/>
      <c r="T44" s="384"/>
      <c r="U44" s="384"/>
      <c r="V44" s="377"/>
      <c r="W44" s="389" t="str">
        <f t="shared" si="1"/>
        <v>$/tonne</v>
      </c>
      <c r="X44" s="366"/>
    </row>
    <row r="45" spans="2:24" x14ac:dyDescent="0.25">
      <c r="B45" s="388"/>
      <c r="C45" s="394" t="str">
        <f t="shared" ref="C45:D54" si="17">C33</f>
        <v>Net sales value</v>
      </c>
      <c r="D45" s="394" t="str">
        <f t="shared" si="17"/>
        <v>Valeur des ventes nettes</v>
      </c>
      <c r="E45" s="392">
        <f t="shared" ref="E45:I54" si="18">IF(OR(E$30="N/A",E33="N/A"),"N/A",IF(E$30=0,0,IF(ISERROR(E33/E$30),0,E33/E$30)))*1000</f>
        <v>0</v>
      </c>
      <c r="F45" s="392">
        <f t="shared" si="18"/>
        <v>0</v>
      </c>
      <c r="G45" s="392">
        <f t="shared" si="18"/>
        <v>0</v>
      </c>
      <c r="H45" s="392">
        <f t="shared" si="18"/>
        <v>0</v>
      </c>
      <c r="I45" s="392">
        <f t="shared" si="18"/>
        <v>0</v>
      </c>
      <c r="J45" s="377"/>
      <c r="K45" s="394" t="str">
        <f t="shared" si="0"/>
        <v>Valeur des ventes nettes</v>
      </c>
      <c r="L45" s="366"/>
      <c r="M45" s="98"/>
      <c r="N45" s="388"/>
      <c r="O45" s="394" t="str">
        <f t="shared" ref="O45:P54" si="19">O33</f>
        <v>Net sales value</v>
      </c>
      <c r="P45" s="394" t="str">
        <f t="shared" si="19"/>
        <v>Valeur des ventes nettes</v>
      </c>
      <c r="Q45" s="392">
        <f t="shared" ref="Q45:U54" si="20">IF(OR(Q$30="N/A",Q33="N/A"),"N/A",IF(Q$30=0,0,IF(ISERROR(Q33/Q$30),0,Q33/Q$30)))*1000</f>
        <v>0</v>
      </c>
      <c r="R45" s="392">
        <f t="shared" si="20"/>
        <v>0</v>
      </c>
      <c r="S45" s="392">
        <f t="shared" si="20"/>
        <v>0</v>
      </c>
      <c r="T45" s="392">
        <f t="shared" si="20"/>
        <v>0</v>
      </c>
      <c r="U45" s="392">
        <f t="shared" si="20"/>
        <v>0</v>
      </c>
      <c r="V45" s="377"/>
      <c r="W45" s="394" t="str">
        <f t="shared" si="1"/>
        <v>Valeur des ventes nettes</v>
      </c>
      <c r="X45" s="366"/>
    </row>
    <row r="46" spans="2:24" x14ac:dyDescent="0.25">
      <c r="B46" s="369"/>
      <c r="C46" s="396" t="str">
        <f t="shared" si="17"/>
        <v>Beginning inventory</v>
      </c>
      <c r="D46" s="396" t="str">
        <f t="shared" si="17"/>
        <v>Stock d'ouverture</v>
      </c>
      <c r="E46" s="392">
        <f t="shared" si="18"/>
        <v>0</v>
      </c>
      <c r="F46" s="392">
        <f t="shared" si="18"/>
        <v>0</v>
      </c>
      <c r="G46" s="392">
        <f t="shared" si="18"/>
        <v>0</v>
      </c>
      <c r="H46" s="392">
        <f t="shared" si="18"/>
        <v>0</v>
      </c>
      <c r="I46" s="392">
        <f t="shared" si="18"/>
        <v>0</v>
      </c>
      <c r="J46" s="377"/>
      <c r="K46" s="396" t="str">
        <f t="shared" si="0"/>
        <v>Stock d'ouverture</v>
      </c>
      <c r="L46" s="366"/>
      <c r="M46" s="98"/>
      <c r="N46" s="369"/>
      <c r="O46" s="396" t="str">
        <f t="shared" si="19"/>
        <v>Beginning inventory</v>
      </c>
      <c r="P46" s="396" t="str">
        <f t="shared" si="19"/>
        <v>Stock d'ouverture</v>
      </c>
      <c r="Q46" s="392">
        <f t="shared" si="20"/>
        <v>0</v>
      </c>
      <c r="R46" s="392">
        <f t="shared" si="20"/>
        <v>0</v>
      </c>
      <c r="S46" s="392">
        <f t="shared" si="20"/>
        <v>0</v>
      </c>
      <c r="T46" s="392">
        <f t="shared" si="20"/>
        <v>0</v>
      </c>
      <c r="U46" s="392">
        <f t="shared" si="20"/>
        <v>0</v>
      </c>
      <c r="V46" s="377"/>
      <c r="W46" s="396" t="str">
        <f t="shared" si="1"/>
        <v>Stock d'ouverture</v>
      </c>
      <c r="X46" s="366"/>
    </row>
    <row r="47" spans="2:24" x14ac:dyDescent="0.25">
      <c r="B47" s="369"/>
      <c r="C47" s="397" t="str">
        <f t="shared" si="17"/>
        <v xml:space="preserve">Cost of goods manufactured </v>
      </c>
      <c r="D47" s="397" t="str">
        <f t="shared" si="17"/>
        <v>Coût des marchandises fabriquées</v>
      </c>
      <c r="E47" s="392">
        <f t="shared" si="18"/>
        <v>0</v>
      </c>
      <c r="F47" s="392">
        <f t="shared" si="18"/>
        <v>0</v>
      </c>
      <c r="G47" s="392">
        <f t="shared" si="18"/>
        <v>0</v>
      </c>
      <c r="H47" s="392">
        <f t="shared" si="18"/>
        <v>0</v>
      </c>
      <c r="I47" s="392">
        <f t="shared" si="18"/>
        <v>0</v>
      </c>
      <c r="J47" s="377"/>
      <c r="K47" s="397" t="str">
        <f t="shared" si="0"/>
        <v>Coût des marchandises fabriquées</v>
      </c>
      <c r="L47" s="366"/>
      <c r="M47" s="98"/>
      <c r="N47" s="369"/>
      <c r="O47" s="397" t="str">
        <f t="shared" si="19"/>
        <v xml:space="preserve">Cost of goods manufactured </v>
      </c>
      <c r="P47" s="397" t="str">
        <f t="shared" si="19"/>
        <v>Coût des marchandises fabriquées</v>
      </c>
      <c r="Q47" s="392">
        <f t="shared" si="20"/>
        <v>0</v>
      </c>
      <c r="R47" s="392">
        <f t="shared" si="20"/>
        <v>0</v>
      </c>
      <c r="S47" s="392">
        <f t="shared" si="20"/>
        <v>0</v>
      </c>
      <c r="T47" s="392">
        <f t="shared" si="20"/>
        <v>0</v>
      </c>
      <c r="U47" s="392">
        <f t="shared" si="20"/>
        <v>0</v>
      </c>
      <c r="V47" s="377"/>
      <c r="W47" s="397" t="str">
        <f t="shared" si="1"/>
        <v>Coût des marchandises fabriquées</v>
      </c>
      <c r="X47" s="366"/>
    </row>
    <row r="48" spans="2:24" x14ac:dyDescent="0.25">
      <c r="B48" s="369"/>
      <c r="C48" s="397" t="str">
        <f t="shared" si="17"/>
        <v>Ending inventory</v>
      </c>
      <c r="D48" s="397" t="str">
        <f t="shared" si="17"/>
        <v>Stock de clôture</v>
      </c>
      <c r="E48" s="392">
        <f t="shared" si="18"/>
        <v>0</v>
      </c>
      <c r="F48" s="392">
        <f t="shared" si="18"/>
        <v>0</v>
      </c>
      <c r="G48" s="392">
        <f t="shared" si="18"/>
        <v>0</v>
      </c>
      <c r="H48" s="392">
        <f t="shared" si="18"/>
        <v>0</v>
      </c>
      <c r="I48" s="392">
        <f t="shared" si="18"/>
        <v>0</v>
      </c>
      <c r="J48" s="377"/>
      <c r="K48" s="397" t="str">
        <f t="shared" si="0"/>
        <v>Stock de clôture</v>
      </c>
      <c r="L48" s="398"/>
      <c r="M48" s="399"/>
      <c r="N48" s="369"/>
      <c r="O48" s="397" t="str">
        <f t="shared" si="19"/>
        <v>Ending inventory</v>
      </c>
      <c r="P48" s="397" t="str">
        <f t="shared" si="19"/>
        <v>Stock de clôture</v>
      </c>
      <c r="Q48" s="392">
        <f t="shared" si="20"/>
        <v>0</v>
      </c>
      <c r="R48" s="392">
        <f t="shared" si="20"/>
        <v>0</v>
      </c>
      <c r="S48" s="392">
        <f t="shared" si="20"/>
        <v>0</v>
      </c>
      <c r="T48" s="392">
        <f t="shared" si="20"/>
        <v>0</v>
      </c>
      <c r="U48" s="392">
        <f t="shared" si="20"/>
        <v>0</v>
      </c>
      <c r="V48" s="377"/>
      <c r="W48" s="397" t="str">
        <f t="shared" si="1"/>
        <v>Stock de clôture</v>
      </c>
      <c r="X48" s="398"/>
    </row>
    <row r="49" spans="2:24" x14ac:dyDescent="0.25">
      <c r="B49" s="369"/>
      <c r="C49" s="397" t="str">
        <f t="shared" si="17"/>
        <v>Cost of goods sold</v>
      </c>
      <c r="D49" s="397" t="str">
        <f t="shared" si="17"/>
        <v>Coût des marchandises vendues</v>
      </c>
      <c r="E49" s="392">
        <f t="shared" si="18"/>
        <v>0</v>
      </c>
      <c r="F49" s="392">
        <f t="shared" si="18"/>
        <v>0</v>
      </c>
      <c r="G49" s="392">
        <f t="shared" si="18"/>
        <v>0</v>
      </c>
      <c r="H49" s="392">
        <f t="shared" si="18"/>
        <v>0</v>
      </c>
      <c r="I49" s="392">
        <f t="shared" si="18"/>
        <v>0</v>
      </c>
      <c r="J49" s="377"/>
      <c r="K49" s="397" t="str">
        <f t="shared" si="0"/>
        <v>Coût des marchandises vendues</v>
      </c>
      <c r="L49" s="366"/>
      <c r="M49" s="98"/>
      <c r="N49" s="369"/>
      <c r="O49" s="397" t="str">
        <f t="shared" si="19"/>
        <v>Cost of goods sold</v>
      </c>
      <c r="P49" s="397" t="str">
        <f t="shared" si="19"/>
        <v>Coût des marchandises vendues</v>
      </c>
      <c r="Q49" s="392">
        <f t="shared" si="20"/>
        <v>0</v>
      </c>
      <c r="R49" s="392">
        <f t="shared" si="20"/>
        <v>0</v>
      </c>
      <c r="S49" s="392">
        <f t="shared" si="20"/>
        <v>0</v>
      </c>
      <c r="T49" s="392">
        <f t="shared" si="20"/>
        <v>0</v>
      </c>
      <c r="U49" s="392">
        <f t="shared" si="20"/>
        <v>0</v>
      </c>
      <c r="V49" s="377"/>
      <c r="W49" s="397" t="str">
        <f t="shared" si="1"/>
        <v>Coût des marchandises vendues</v>
      </c>
      <c r="X49" s="366"/>
    </row>
    <row r="50" spans="2:24" x14ac:dyDescent="0.25">
      <c r="B50" s="388"/>
      <c r="C50" s="394" t="str">
        <f t="shared" si="17"/>
        <v>Gross margin (loss)</v>
      </c>
      <c r="D50" s="394" t="str">
        <f t="shared" si="17"/>
        <v>Marge bénéficiaire brute (pertes)</v>
      </c>
      <c r="E50" s="387">
        <f t="shared" si="18"/>
        <v>0</v>
      </c>
      <c r="F50" s="387">
        <f t="shared" si="18"/>
        <v>0</v>
      </c>
      <c r="G50" s="387">
        <f t="shared" si="18"/>
        <v>0</v>
      </c>
      <c r="H50" s="387">
        <f t="shared" si="18"/>
        <v>0</v>
      </c>
      <c r="I50" s="387">
        <f t="shared" si="18"/>
        <v>0</v>
      </c>
      <c r="J50" s="381"/>
      <c r="K50" s="394" t="str">
        <f t="shared" si="0"/>
        <v>Marge bénéficiaire brute (pertes)</v>
      </c>
      <c r="L50" s="398"/>
      <c r="M50" s="399"/>
      <c r="N50" s="388"/>
      <c r="O50" s="394" t="str">
        <f t="shared" si="19"/>
        <v>Gross margin (loss)</v>
      </c>
      <c r="P50" s="394" t="str">
        <f t="shared" si="19"/>
        <v>Marge bénéficiaire brute (pertes)</v>
      </c>
      <c r="Q50" s="387">
        <f t="shared" si="20"/>
        <v>0</v>
      </c>
      <c r="R50" s="387">
        <f t="shared" si="20"/>
        <v>0</v>
      </c>
      <c r="S50" s="387">
        <f t="shared" si="20"/>
        <v>0</v>
      </c>
      <c r="T50" s="387">
        <f t="shared" si="20"/>
        <v>0</v>
      </c>
      <c r="U50" s="387">
        <f t="shared" si="20"/>
        <v>0</v>
      </c>
      <c r="V50" s="381"/>
      <c r="W50" s="394" t="str">
        <f t="shared" si="1"/>
        <v>Marge bénéficiaire brute (pertes)</v>
      </c>
      <c r="X50" s="398"/>
    </row>
    <row r="51" spans="2:24" ht="15" customHeight="1" x14ac:dyDescent="0.25">
      <c r="B51" s="369"/>
      <c r="C51" s="400" t="str">
        <f t="shared" si="17"/>
        <v>General, selling and administrative expenses</v>
      </c>
      <c r="D51" s="400" t="str">
        <f t="shared" si="17"/>
        <v>Frais généraux, de vente et d’administration</v>
      </c>
      <c r="E51" s="392">
        <f t="shared" si="18"/>
        <v>0</v>
      </c>
      <c r="F51" s="392">
        <f t="shared" si="18"/>
        <v>0</v>
      </c>
      <c r="G51" s="392">
        <f t="shared" si="18"/>
        <v>0</v>
      </c>
      <c r="H51" s="392">
        <f t="shared" si="18"/>
        <v>0</v>
      </c>
      <c r="I51" s="392">
        <f t="shared" si="18"/>
        <v>0</v>
      </c>
      <c r="J51" s="377"/>
      <c r="K51" s="400" t="str">
        <f t="shared" si="0"/>
        <v>Frais généraux, de vente et d’administration</v>
      </c>
      <c r="L51" s="366"/>
      <c r="M51" s="98"/>
      <c r="N51" s="369"/>
      <c r="O51" s="400" t="str">
        <f t="shared" si="19"/>
        <v>General, selling and administrative expenses</v>
      </c>
      <c r="P51" s="400" t="str">
        <f t="shared" si="19"/>
        <v>Frais généraux, de vente et d’administration</v>
      </c>
      <c r="Q51" s="392">
        <f t="shared" si="20"/>
        <v>0</v>
      </c>
      <c r="R51" s="392">
        <f t="shared" si="20"/>
        <v>0</v>
      </c>
      <c r="S51" s="392">
        <f t="shared" si="20"/>
        <v>0</v>
      </c>
      <c r="T51" s="392">
        <f t="shared" si="20"/>
        <v>0</v>
      </c>
      <c r="U51" s="392">
        <f t="shared" si="20"/>
        <v>0</v>
      </c>
      <c r="V51" s="377"/>
      <c r="W51" s="400" t="str">
        <f t="shared" si="1"/>
        <v>Frais généraux, de vente et d’administration</v>
      </c>
      <c r="X51" s="366"/>
    </row>
    <row r="52" spans="2:24" x14ac:dyDescent="0.25">
      <c r="B52" s="369"/>
      <c r="C52" s="397" t="str">
        <f t="shared" si="17"/>
        <v>Financial expenses</v>
      </c>
      <c r="D52" s="397" t="str">
        <f t="shared" si="17"/>
        <v>Charges financières</v>
      </c>
      <c r="E52" s="392">
        <f t="shared" si="18"/>
        <v>0</v>
      </c>
      <c r="F52" s="392">
        <f t="shared" si="18"/>
        <v>0</v>
      </c>
      <c r="G52" s="392">
        <f t="shared" si="18"/>
        <v>0</v>
      </c>
      <c r="H52" s="392">
        <f t="shared" si="18"/>
        <v>0</v>
      </c>
      <c r="I52" s="392">
        <f t="shared" si="18"/>
        <v>0</v>
      </c>
      <c r="J52" s="377"/>
      <c r="K52" s="397" t="str">
        <f t="shared" si="0"/>
        <v>Charges financières</v>
      </c>
      <c r="L52" s="366"/>
      <c r="M52" s="98"/>
      <c r="N52" s="369"/>
      <c r="O52" s="397" t="str">
        <f t="shared" si="19"/>
        <v>Financial expenses</v>
      </c>
      <c r="P52" s="397" t="str">
        <f t="shared" si="19"/>
        <v>Charges financières</v>
      </c>
      <c r="Q52" s="392">
        <f t="shared" si="20"/>
        <v>0</v>
      </c>
      <c r="R52" s="392">
        <f t="shared" si="20"/>
        <v>0</v>
      </c>
      <c r="S52" s="392">
        <f t="shared" si="20"/>
        <v>0</v>
      </c>
      <c r="T52" s="392">
        <f t="shared" si="20"/>
        <v>0</v>
      </c>
      <c r="U52" s="392">
        <f t="shared" si="20"/>
        <v>0</v>
      </c>
      <c r="V52" s="377"/>
      <c r="W52" s="397" t="str">
        <f t="shared" si="1"/>
        <v>Charges financières</v>
      </c>
      <c r="X52" s="366"/>
    </row>
    <row r="53" spans="2:24" x14ac:dyDescent="0.25">
      <c r="B53" s="369"/>
      <c r="C53" s="397" t="str">
        <f t="shared" si="17"/>
        <v>Other expenses</v>
      </c>
      <c r="D53" s="397" t="str">
        <f t="shared" si="17"/>
        <v>Autres dépenses</v>
      </c>
      <c r="E53" s="392">
        <f t="shared" si="18"/>
        <v>0</v>
      </c>
      <c r="F53" s="392">
        <f t="shared" si="18"/>
        <v>0</v>
      </c>
      <c r="G53" s="392">
        <f t="shared" si="18"/>
        <v>0</v>
      </c>
      <c r="H53" s="392">
        <f t="shared" si="18"/>
        <v>0</v>
      </c>
      <c r="I53" s="392">
        <f t="shared" si="18"/>
        <v>0</v>
      </c>
      <c r="J53" s="377"/>
      <c r="K53" s="397" t="str">
        <f t="shared" si="0"/>
        <v>Autres dépenses</v>
      </c>
      <c r="L53" s="366"/>
      <c r="M53" s="98"/>
      <c r="N53" s="369"/>
      <c r="O53" s="397" t="str">
        <f t="shared" si="19"/>
        <v>Other expenses</v>
      </c>
      <c r="P53" s="397" t="str">
        <f t="shared" si="19"/>
        <v>Autres dépenses</v>
      </c>
      <c r="Q53" s="392">
        <f t="shared" si="20"/>
        <v>0</v>
      </c>
      <c r="R53" s="392">
        <f t="shared" si="20"/>
        <v>0</v>
      </c>
      <c r="S53" s="392">
        <f t="shared" si="20"/>
        <v>0</v>
      </c>
      <c r="T53" s="392">
        <f t="shared" si="20"/>
        <v>0</v>
      </c>
      <c r="U53" s="392">
        <f t="shared" si="20"/>
        <v>0</v>
      </c>
      <c r="V53" s="377"/>
      <c r="W53" s="397" t="str">
        <f t="shared" si="1"/>
        <v>Autres dépenses</v>
      </c>
      <c r="X53" s="366"/>
    </row>
    <row r="54" spans="2:24" x14ac:dyDescent="0.25">
      <c r="B54" s="388"/>
      <c r="C54" s="394" t="str">
        <f t="shared" si="17"/>
        <v>Net income (loss) before taxes</v>
      </c>
      <c r="D54" s="394" t="str">
        <f t="shared" si="17"/>
        <v>Revenus nets (pertes) avant impôt</v>
      </c>
      <c r="E54" s="387">
        <f t="shared" si="18"/>
        <v>0</v>
      </c>
      <c r="F54" s="387">
        <f t="shared" si="18"/>
        <v>0</v>
      </c>
      <c r="G54" s="387">
        <f t="shared" si="18"/>
        <v>0</v>
      </c>
      <c r="H54" s="387">
        <f t="shared" si="18"/>
        <v>0</v>
      </c>
      <c r="I54" s="387">
        <f t="shared" si="18"/>
        <v>0</v>
      </c>
      <c r="J54" s="381"/>
      <c r="K54" s="394" t="str">
        <f t="shared" si="0"/>
        <v>Revenus nets (pertes) avant impôt</v>
      </c>
      <c r="L54" s="366"/>
      <c r="M54" s="98"/>
      <c r="N54" s="388"/>
      <c r="O54" s="394" t="str">
        <f t="shared" si="19"/>
        <v>Net income (loss) before taxes</v>
      </c>
      <c r="P54" s="394" t="str">
        <f t="shared" si="19"/>
        <v>Revenus nets (pertes) avant impôt</v>
      </c>
      <c r="Q54" s="387">
        <f t="shared" si="20"/>
        <v>0</v>
      </c>
      <c r="R54" s="387">
        <f t="shared" si="20"/>
        <v>0</v>
      </c>
      <c r="S54" s="387">
        <f t="shared" si="20"/>
        <v>0</v>
      </c>
      <c r="T54" s="387">
        <f t="shared" si="20"/>
        <v>0</v>
      </c>
      <c r="U54" s="387">
        <f t="shared" si="20"/>
        <v>0</v>
      </c>
      <c r="V54" s="381"/>
      <c r="W54" s="394" t="str">
        <f t="shared" si="1"/>
        <v>Revenus nets (pertes) avant impôt</v>
      </c>
      <c r="X54" s="366"/>
    </row>
    <row r="55" spans="2:24" x14ac:dyDescent="0.25">
      <c r="B55" s="388"/>
      <c r="C55" s="401"/>
      <c r="D55" s="364"/>
      <c r="E55" s="381"/>
      <c r="F55" s="381"/>
      <c r="G55" s="381"/>
      <c r="H55" s="381"/>
      <c r="I55" s="381"/>
      <c r="J55" s="381"/>
      <c r="K55" s="381"/>
      <c r="L55" s="366"/>
      <c r="M55" s="98"/>
      <c r="N55" s="388"/>
      <c r="O55" s="364"/>
      <c r="P55" s="364"/>
      <c r="Q55" s="381"/>
      <c r="R55" s="381"/>
      <c r="S55" s="381"/>
      <c r="T55" s="381"/>
      <c r="U55" s="381"/>
      <c r="V55" s="381"/>
      <c r="W55" s="381"/>
      <c r="X55" s="366"/>
    </row>
    <row r="56" spans="2:24" x14ac:dyDescent="0.25">
      <c r="B56" s="369"/>
      <c r="C56" s="402" t="s">
        <v>947</v>
      </c>
      <c r="D56" s="402"/>
      <c r="E56" s="365"/>
      <c r="F56" s="365"/>
      <c r="G56" s="365"/>
      <c r="H56" s="365"/>
      <c r="I56" s="365"/>
      <c r="J56" s="365"/>
      <c r="K56" s="365"/>
      <c r="L56" s="366"/>
      <c r="M56" s="98"/>
      <c r="N56" s="369"/>
      <c r="O56" s="403" t="str">
        <f>C56</f>
        <v>Note(s):</v>
      </c>
      <c r="P56" s="404"/>
      <c r="Q56" s="365"/>
      <c r="R56" s="365"/>
      <c r="S56" s="365"/>
      <c r="T56" s="365"/>
      <c r="U56" s="365"/>
      <c r="V56" s="365"/>
      <c r="W56" s="365"/>
      <c r="X56" s="366"/>
    </row>
    <row r="57" spans="2:24" x14ac:dyDescent="0.25">
      <c r="B57" s="369"/>
      <c r="C57" s="1017" t="s">
        <v>948</v>
      </c>
      <c r="D57" s="1017"/>
      <c r="E57" s="1017"/>
      <c r="F57" s="1017"/>
      <c r="G57" s="1017"/>
      <c r="H57" s="1017"/>
      <c r="I57" s="1017"/>
      <c r="J57" s="1017"/>
      <c r="K57" s="1017"/>
      <c r="L57" s="366"/>
      <c r="M57" s="98"/>
      <c r="N57" s="369"/>
      <c r="O57" s="1017" t="str">
        <f>C57</f>
        <v>1. The data may not balance, as the beginning and ending inventories of goods in process are not shown.  |  
Les données pourraient ne pas s'équilibrer puisque les stocks d'ouverture et de clôture des marchandises en cours de fabrication ne figurent pas dans le tableau.</v>
      </c>
      <c r="P57" s="1017"/>
      <c r="Q57" s="1017"/>
      <c r="R57" s="1017"/>
      <c r="S57" s="1017"/>
      <c r="T57" s="1017"/>
      <c r="U57" s="1017"/>
      <c r="V57" s="1017"/>
      <c r="W57" s="1017"/>
      <c r="X57" s="366"/>
    </row>
    <row r="58" spans="2:24" x14ac:dyDescent="0.25">
      <c r="B58" s="369"/>
      <c r="C58" s="1013" t="s">
        <v>949</v>
      </c>
      <c r="D58" s="1013"/>
      <c r="E58" s="1013"/>
      <c r="F58" s="1013"/>
      <c r="G58" s="1013"/>
      <c r="H58" s="1013"/>
      <c r="I58" s="1013"/>
      <c r="J58" s="1013"/>
      <c r="K58" s="1013"/>
      <c r="L58" s="366"/>
      <c r="M58" s="98"/>
      <c r="N58" s="369"/>
      <c r="O58" s="1013" t="str">
        <f>C58</f>
        <v>Source: Reply to CITT questionnaire.  |  Réponse au questionnaire du TCCE.</v>
      </c>
      <c r="P58" s="1013"/>
      <c r="Q58" s="1013"/>
      <c r="R58" s="1013"/>
      <c r="S58" s="1013"/>
      <c r="T58" s="1013"/>
      <c r="U58" s="1013"/>
      <c r="V58" s="1013"/>
      <c r="W58" s="1013"/>
      <c r="X58" s="366"/>
    </row>
    <row r="59" spans="2:24" x14ac:dyDescent="0.25">
      <c r="B59" s="369"/>
      <c r="C59" s="405"/>
      <c r="D59" s="405"/>
      <c r="E59" s="365"/>
      <c r="F59" s="365"/>
      <c r="G59" s="365"/>
      <c r="H59" s="365"/>
      <c r="I59" s="365"/>
      <c r="J59" s="365"/>
      <c r="K59" s="365"/>
      <c r="L59" s="366"/>
      <c r="M59" s="98"/>
      <c r="N59" s="369"/>
      <c r="O59" s="405"/>
      <c r="P59" s="405"/>
      <c r="Q59" s="365"/>
      <c r="R59" s="365"/>
      <c r="S59" s="365"/>
      <c r="T59" s="365"/>
      <c r="U59" s="365"/>
      <c r="V59" s="365"/>
      <c r="W59" s="365"/>
      <c r="X59" s="366"/>
    </row>
    <row r="60" spans="2:24" ht="15.75" thickBot="1" x14ac:dyDescent="0.3">
      <c r="B60" s="406"/>
      <c r="C60" s="407"/>
      <c r="D60" s="407"/>
      <c r="E60" s="407"/>
      <c r="F60" s="407"/>
      <c r="G60" s="407"/>
      <c r="H60" s="407"/>
      <c r="I60" s="407"/>
      <c r="J60" s="407"/>
      <c r="K60" s="407"/>
      <c r="L60" s="408"/>
      <c r="M60" s="98"/>
      <c r="N60" s="406"/>
      <c r="O60" s="407"/>
      <c r="P60" s="407"/>
      <c r="Q60" s="407"/>
      <c r="R60" s="407"/>
      <c r="S60" s="407"/>
      <c r="T60" s="407"/>
      <c r="U60" s="407"/>
      <c r="V60" s="407"/>
      <c r="W60" s="407"/>
      <c r="X60" s="408"/>
    </row>
    <row r="62" spans="2:24" ht="15.75" thickBot="1" x14ac:dyDescent="0.3">
      <c r="C62" s="371" t="s">
        <v>950</v>
      </c>
    </row>
    <row r="63" spans="2:24" x14ac:dyDescent="0.25">
      <c r="B63" s="358"/>
      <c r="C63" s="359"/>
      <c r="D63" s="359"/>
      <c r="E63" s="360"/>
      <c r="F63" s="360"/>
      <c r="G63" s="360"/>
      <c r="H63" s="360"/>
      <c r="I63" s="360"/>
      <c r="J63" s="360"/>
      <c r="K63" s="360"/>
      <c r="L63" s="361"/>
    </row>
    <row r="64" spans="2:24" x14ac:dyDescent="0.25">
      <c r="B64" s="363"/>
      <c r="C64" s="364"/>
      <c r="D64" s="364"/>
      <c r="E64" s="365"/>
      <c r="F64" s="365"/>
      <c r="G64" s="365"/>
      <c r="H64" s="365"/>
      <c r="I64" s="365"/>
      <c r="J64" s="365"/>
      <c r="K64" s="365"/>
      <c r="L64" s="366"/>
    </row>
    <row r="65" spans="2:12" x14ac:dyDescent="0.25">
      <c r="B65" s="363"/>
      <c r="C65" s="371"/>
      <c r="D65" s="371"/>
      <c r="E65" s="365"/>
      <c r="F65" s="365"/>
      <c r="G65" s="365"/>
      <c r="H65" s="1014" t="s">
        <v>933</v>
      </c>
      <c r="I65" s="1014"/>
      <c r="J65" s="368"/>
      <c r="K65" s="368"/>
      <c r="L65" s="366"/>
    </row>
    <row r="66" spans="2:12" x14ac:dyDescent="0.25">
      <c r="B66" s="369"/>
      <c r="C66" s="409">
        <f>C6</f>
        <v>0</v>
      </c>
      <c r="D66" s="371"/>
      <c r="E66" s="371">
        <v>2023</v>
      </c>
      <c r="F66" s="371">
        <v>2024</v>
      </c>
      <c r="G66" s="371">
        <v>2025</v>
      </c>
      <c r="H66" s="371">
        <v>2025</v>
      </c>
      <c r="I66" s="371">
        <v>2026</v>
      </c>
      <c r="J66" s="364"/>
      <c r="K66" s="364"/>
      <c r="L66" s="366"/>
    </row>
    <row r="67" spans="2:12" x14ac:dyDescent="0.25">
      <c r="B67" s="369"/>
      <c r="C67" s="410" t="s">
        <v>437</v>
      </c>
      <c r="D67" s="410" t="s">
        <v>936</v>
      </c>
      <c r="E67" s="377"/>
      <c r="F67" s="377"/>
      <c r="G67" s="377"/>
      <c r="H67" s="377"/>
      <c r="I67" s="377"/>
      <c r="J67" s="377"/>
      <c r="K67" s="410" t="s">
        <v>936</v>
      </c>
      <c r="L67" s="366"/>
    </row>
    <row r="68" spans="2:12" x14ac:dyDescent="0.25">
      <c r="B68" s="369"/>
      <c r="C68" s="411" t="s">
        <v>373</v>
      </c>
      <c r="D68" s="411" t="s">
        <v>943</v>
      </c>
      <c r="E68" s="376">
        <f>'Pro 3'!G364/1000</f>
        <v>0</v>
      </c>
      <c r="F68" s="376">
        <f>'Pro 3'!H364/1000</f>
        <v>0</v>
      </c>
      <c r="G68" s="376">
        <f>'Pro 3'!I364/1000</f>
        <v>0</v>
      </c>
      <c r="H68" s="376">
        <f>'Pro 3'!J364/1000</f>
        <v>0</v>
      </c>
      <c r="I68" s="376">
        <f>'Pro 3'!K364/1000</f>
        <v>0</v>
      </c>
      <c r="J68" s="377"/>
      <c r="K68" s="411" t="s">
        <v>943</v>
      </c>
      <c r="L68" s="366"/>
    </row>
    <row r="69" spans="2:12" x14ac:dyDescent="0.25">
      <c r="B69" s="369"/>
      <c r="C69" s="412" t="s">
        <v>367</v>
      </c>
      <c r="D69" s="412" t="s">
        <v>48</v>
      </c>
      <c r="E69" s="376">
        <f>'Pro 3'!G365/1000</f>
        <v>0</v>
      </c>
      <c r="F69" s="376">
        <f>'Pro 3'!H365/1000</f>
        <v>0</v>
      </c>
      <c r="G69" s="376">
        <f>'Pro 3'!I365/1000</f>
        <v>0</v>
      </c>
      <c r="H69" s="376">
        <f>'Pro 3'!J365/1000</f>
        <v>0</v>
      </c>
      <c r="I69" s="376">
        <f>'Pro 3'!K365/1000</f>
        <v>0</v>
      </c>
      <c r="J69" s="377"/>
      <c r="K69" s="412" t="s">
        <v>48</v>
      </c>
      <c r="L69" s="366"/>
    </row>
    <row r="70" spans="2:12" x14ac:dyDescent="0.25">
      <c r="B70" s="369"/>
      <c r="C70" s="411" t="s">
        <v>440</v>
      </c>
      <c r="D70" s="411" t="s">
        <v>944</v>
      </c>
      <c r="E70" s="387">
        <f>'Pro 3'!G366</f>
        <v>0</v>
      </c>
      <c r="F70" s="387">
        <f>'Pro 3'!H366</f>
        <v>0</v>
      </c>
      <c r="G70" s="387">
        <f>'Pro 3'!I366</f>
        <v>0</v>
      </c>
      <c r="H70" s="387">
        <f>'Pro 3'!J366</f>
        <v>0</v>
      </c>
      <c r="I70" s="387">
        <f>'Pro 3'!K366</f>
        <v>0</v>
      </c>
      <c r="J70" s="381"/>
      <c r="K70" s="411" t="s">
        <v>944</v>
      </c>
      <c r="L70" s="366"/>
    </row>
    <row r="71" spans="2:12" x14ac:dyDescent="0.25">
      <c r="B71" s="369"/>
      <c r="C71" s="412" t="s">
        <v>370</v>
      </c>
      <c r="D71" s="412" t="s">
        <v>945</v>
      </c>
      <c r="E71" s="376">
        <f>'Pro 3'!G367/1000</f>
        <v>0</v>
      </c>
      <c r="F71" s="376">
        <f>'Pro 3'!H367/1000</f>
        <v>0</v>
      </c>
      <c r="G71" s="376">
        <f>'Pro 3'!I367/1000</f>
        <v>0</v>
      </c>
      <c r="H71" s="376">
        <f>'Pro 3'!J367/1000</f>
        <v>0</v>
      </c>
      <c r="I71" s="376">
        <f>'Pro 3'!K367/1000</f>
        <v>0</v>
      </c>
      <c r="J71" s="377"/>
      <c r="K71" s="412" t="s">
        <v>945</v>
      </c>
      <c r="L71" s="366"/>
    </row>
    <row r="72" spans="2:12" x14ac:dyDescent="0.25">
      <c r="B72" s="369"/>
      <c r="C72" s="412" t="s">
        <v>369</v>
      </c>
      <c r="D72" s="412" t="s">
        <v>54</v>
      </c>
      <c r="E72" s="376">
        <f>'Pro 3'!G368/1000</f>
        <v>0</v>
      </c>
      <c r="F72" s="376">
        <f>'Pro 3'!H368/1000</f>
        <v>0</v>
      </c>
      <c r="G72" s="376">
        <f>'Pro 3'!I368/1000</f>
        <v>0</v>
      </c>
      <c r="H72" s="376">
        <f>'Pro 3'!J368/1000</f>
        <v>0</v>
      </c>
      <c r="I72" s="376">
        <f>'Pro 3'!K368/1000</f>
        <v>0</v>
      </c>
      <c r="J72" s="377"/>
      <c r="K72" s="412" t="s">
        <v>54</v>
      </c>
      <c r="L72" s="366"/>
    </row>
    <row r="73" spans="2:12" x14ac:dyDescent="0.25">
      <c r="B73" s="369"/>
      <c r="C73" s="412" t="s">
        <v>443</v>
      </c>
      <c r="D73" s="412" t="s">
        <v>115</v>
      </c>
      <c r="E73" s="376">
        <f>'Pro 3'!G369/1000</f>
        <v>0</v>
      </c>
      <c r="F73" s="376">
        <f>'Pro 3'!H369/1000</f>
        <v>0</v>
      </c>
      <c r="G73" s="376">
        <f>'Pro 3'!I369/1000</f>
        <v>0</v>
      </c>
      <c r="H73" s="376">
        <f>'Pro 3'!J369/1000</f>
        <v>0</v>
      </c>
      <c r="I73" s="376">
        <f>'Pro 3'!K369/1000</f>
        <v>0</v>
      </c>
      <c r="J73" s="377"/>
      <c r="K73" s="412" t="s">
        <v>115</v>
      </c>
      <c r="L73" s="366"/>
    </row>
    <row r="74" spans="2:12" x14ac:dyDescent="0.25">
      <c r="B74" s="369"/>
      <c r="C74" s="411" t="s">
        <v>445</v>
      </c>
      <c r="D74" s="411" t="s">
        <v>946</v>
      </c>
      <c r="E74" s="387">
        <f>'Pro 3'!G370</f>
        <v>0</v>
      </c>
      <c r="F74" s="387">
        <f>'Pro 3'!H370</f>
        <v>0</v>
      </c>
      <c r="G74" s="387">
        <f>'Pro 3'!I370</f>
        <v>0</v>
      </c>
      <c r="H74" s="387">
        <f>'Pro 3'!J370</f>
        <v>0</v>
      </c>
      <c r="I74" s="387">
        <f>'Pro 3'!K370</f>
        <v>0</v>
      </c>
      <c r="J74" s="381"/>
      <c r="K74" s="411" t="s">
        <v>946</v>
      </c>
      <c r="L74" s="366"/>
    </row>
    <row r="75" spans="2:12" ht="15.75" thickBot="1" x14ac:dyDescent="0.3">
      <c r="B75" s="406"/>
      <c r="C75" s="413"/>
      <c r="D75" s="413"/>
      <c r="E75" s="414"/>
      <c r="F75" s="414"/>
      <c r="G75" s="414"/>
      <c r="H75" s="414"/>
      <c r="I75" s="414"/>
      <c r="J75" s="415"/>
      <c r="K75" s="413"/>
      <c r="L75" s="408"/>
    </row>
  </sheetData>
  <sheetProtection algorithmName="SHA-512" hashValue="RAVmdgtZE3lVhTTEg0JxrbcoYNbJBCYSuMZNe/ebjueJdjnl7MHe3T0VwexVL15iBr4XFkqPFrsNKFTOPsB/AA==" saltValue="Y6OyRxDeBMDgFsfQkYxgXA==" spinCount="100000" sheet="1" objects="1" scenarios="1" selectLockedCells="1"/>
  <mergeCells count="9">
    <mergeCell ref="C58:K58"/>
    <mergeCell ref="O58:W58"/>
    <mergeCell ref="H65:I65"/>
    <mergeCell ref="C2:K2"/>
    <mergeCell ref="O2:W2"/>
    <mergeCell ref="H5:I5"/>
    <mergeCell ref="T5:U5"/>
    <mergeCell ref="C57:K57"/>
    <mergeCell ref="O57:W57"/>
  </mergeCells>
  <dataValidations count="4">
    <dataValidation type="list" allowBlank="1" showInputMessage="1" showErrorMessage="1" sqref="H5 H7:H8" xr:uid="{79859EBE-BBF4-492A-B53B-27870D875DEC}">
      <formula1>$H$1:$H$3</formula1>
    </dataValidation>
    <dataValidation type="list" allowBlank="1" showInputMessage="1" showErrorMessage="1" sqref="C5:C8" xr:uid="{54786A80-D732-4984-B67E-EA95C5902924}">
      <formula1>$C$1:$C$6</formula1>
    </dataValidation>
    <dataValidation type="list" allowBlank="1" showInputMessage="1" showErrorMessage="1" sqref="B5" xr:uid="{B9394126-11C6-4F91-93F8-DCCDDE64922C}">
      <formula1>$B$1:$B$3</formula1>
    </dataValidation>
    <dataValidation type="list" allowBlank="1" showInputMessage="1" showErrorMessage="1" sqref="D5:D8" xr:uid="{B48CF09B-12C4-4577-A4D1-775AF8406AF2}">
      <formula1>$D$1:$D$8</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AC8B1-BF9B-42C7-9C59-B903924834A9}">
  <sheetPr>
    <tabColor rgb="FFFF0000"/>
  </sheetPr>
  <dimension ref="A3:M67"/>
  <sheetViews>
    <sheetView workbookViewId="0">
      <selection activeCell="E33" sqref="E33:I33"/>
    </sheetView>
  </sheetViews>
  <sheetFormatPr defaultRowHeight="15" x14ac:dyDescent="0.25"/>
  <cols>
    <col min="1" max="1" width="8.42578125" customWidth="1"/>
    <col min="2" max="2" width="2.7109375" customWidth="1"/>
    <col min="3" max="3" width="35.7109375" customWidth="1"/>
    <col min="4" max="4" width="0" hidden="1" customWidth="1"/>
    <col min="5" max="10" width="11.28515625" customWidth="1"/>
    <col min="11" max="11" width="5" customWidth="1"/>
    <col min="12" max="12" width="38.7109375" customWidth="1"/>
    <col min="13" max="13" width="2.7109375" customWidth="1"/>
  </cols>
  <sheetData>
    <row r="3" spans="1:13" ht="15.75" thickBot="1" x14ac:dyDescent="0.3"/>
    <row r="4" spans="1:13" x14ac:dyDescent="0.25">
      <c r="A4" s="362"/>
      <c r="B4" s="416"/>
      <c r="C4" s="417"/>
      <c r="D4" s="417"/>
      <c r="E4" s="417"/>
      <c r="F4" s="417"/>
      <c r="G4" s="417"/>
      <c r="H4" s="417"/>
      <c r="I4" s="417"/>
      <c r="J4" s="417"/>
      <c r="K4" s="417"/>
      <c r="L4" s="417"/>
      <c r="M4" s="418"/>
    </row>
    <row r="5" spans="1:13" x14ac:dyDescent="0.25">
      <c r="A5" s="367"/>
      <c r="B5" s="419"/>
      <c r="C5" s="420"/>
      <c r="D5" s="420"/>
      <c r="E5" s="420"/>
      <c r="F5" s="420"/>
      <c r="G5" s="420"/>
      <c r="H5" s="1014" t="s">
        <v>933</v>
      </c>
      <c r="I5" s="1014"/>
      <c r="J5" s="368"/>
      <c r="K5" s="368"/>
      <c r="L5" s="421"/>
      <c r="M5" s="422"/>
    </row>
    <row r="6" spans="1:13" x14ac:dyDescent="0.25">
      <c r="A6" s="42"/>
      <c r="B6" s="423"/>
      <c r="C6" s="424">
        <f>Intro!E101</f>
        <v>0</v>
      </c>
      <c r="D6" s="425"/>
      <c r="E6" s="371">
        <v>2022</v>
      </c>
      <c r="F6" s="371">
        <v>2023</v>
      </c>
      <c r="G6" s="371">
        <v>2024</v>
      </c>
      <c r="H6" s="371">
        <v>2024</v>
      </c>
      <c r="I6" s="371">
        <v>2025</v>
      </c>
      <c r="J6" s="371"/>
      <c r="K6" s="371"/>
      <c r="L6" s="371"/>
      <c r="M6" s="422"/>
    </row>
    <row r="7" spans="1:13" x14ac:dyDescent="0.25">
      <c r="A7" s="42"/>
      <c r="B7" s="423"/>
      <c r="C7" s="425"/>
      <c r="D7" s="425"/>
      <c r="E7" s="371"/>
      <c r="F7" s="371"/>
      <c r="G7" s="371"/>
      <c r="H7" s="371"/>
      <c r="I7" s="371"/>
      <c r="J7" s="371"/>
      <c r="K7" s="371"/>
      <c r="L7" s="371"/>
      <c r="M7" s="422"/>
    </row>
    <row r="8" spans="1:13" x14ac:dyDescent="0.25">
      <c r="A8" s="42"/>
      <c r="B8" s="423"/>
      <c r="C8" s="426" t="s">
        <v>951</v>
      </c>
      <c r="D8" s="426" t="s">
        <v>952</v>
      </c>
      <c r="E8" s="427">
        <f>'Pro 1'!G26</f>
        <v>0</v>
      </c>
      <c r="F8" s="427">
        <f>'Pro 1'!H26</f>
        <v>0</v>
      </c>
      <c r="G8" s="427">
        <f>'Pro 1'!I26</f>
        <v>0</v>
      </c>
      <c r="H8" s="427">
        <f>'Pro 1'!J26</f>
        <v>0</v>
      </c>
      <c r="I8" s="427">
        <f>'Pro 1'!K26</f>
        <v>0</v>
      </c>
      <c r="J8" s="428"/>
      <c r="K8" s="428"/>
      <c r="L8" s="426" t="str">
        <f>D8</f>
        <v>Capacité pratique des usines (tonnes)</v>
      </c>
      <c r="M8" s="422"/>
    </row>
    <row r="9" spans="1:13" x14ac:dyDescent="0.25">
      <c r="B9" s="423"/>
      <c r="C9" s="425"/>
      <c r="D9" s="425"/>
      <c r="E9" s="429"/>
      <c r="F9" s="429"/>
      <c r="G9" s="429"/>
      <c r="H9" s="429"/>
      <c r="I9" s="429"/>
      <c r="J9" s="429"/>
      <c r="K9" s="429"/>
      <c r="L9" s="425"/>
      <c r="M9" s="422"/>
    </row>
    <row r="10" spans="1:13" x14ac:dyDescent="0.25">
      <c r="B10" s="423"/>
      <c r="C10" s="426" t="s">
        <v>456</v>
      </c>
      <c r="D10" s="426" t="s">
        <v>456</v>
      </c>
      <c r="E10" s="429"/>
      <c r="F10" s="429"/>
      <c r="G10" s="429"/>
      <c r="H10" s="429"/>
      <c r="I10" s="429"/>
      <c r="J10" s="429"/>
      <c r="K10" s="429"/>
      <c r="L10" s="426" t="str">
        <f t="shared" ref="L10:L16" si="0">D10</f>
        <v>Production (tonnes)</v>
      </c>
      <c r="M10" s="422"/>
    </row>
    <row r="11" spans="1:13" x14ac:dyDescent="0.25">
      <c r="B11" s="419"/>
      <c r="C11" s="430" t="s">
        <v>953</v>
      </c>
      <c r="D11" s="430" t="s">
        <v>954</v>
      </c>
      <c r="E11" s="427">
        <f>'Pro 1'!G20</f>
        <v>0</v>
      </c>
      <c r="F11" s="427">
        <f>'Pro 1'!H20</f>
        <v>0</v>
      </c>
      <c r="G11" s="427">
        <f>'Pro 1'!I20</f>
        <v>0</v>
      </c>
      <c r="H11" s="427">
        <f>'Pro 1'!J20</f>
        <v>0</v>
      </c>
      <c r="I11" s="427">
        <f>'Pro 1'!K20</f>
        <v>0</v>
      </c>
      <c r="J11" s="428"/>
      <c r="K11" s="431"/>
      <c r="L11" s="430" t="str">
        <f t="shared" si="0"/>
        <v>Pour les ventes nationales</v>
      </c>
      <c r="M11" s="422"/>
    </row>
    <row r="12" spans="1:13" x14ac:dyDescent="0.25">
      <c r="B12" s="419"/>
      <c r="C12" s="430" t="s">
        <v>955</v>
      </c>
      <c r="D12" s="430" t="s">
        <v>956</v>
      </c>
      <c r="E12" s="427">
        <f>'Pro 1'!G21</f>
        <v>0</v>
      </c>
      <c r="F12" s="427">
        <f>'Pro 1'!H21</f>
        <v>0</v>
      </c>
      <c r="G12" s="427">
        <f>'Pro 1'!I21</f>
        <v>0</v>
      </c>
      <c r="H12" s="427">
        <f>'Pro 1'!J21</f>
        <v>0</v>
      </c>
      <c r="I12" s="427">
        <f>'Pro 1'!K21</f>
        <v>0</v>
      </c>
      <c r="J12" s="431"/>
      <c r="K12" s="431"/>
      <c r="L12" s="430" t="str">
        <f t="shared" si="0"/>
        <v xml:space="preserve">Pour les ventes à l'exportation </v>
      </c>
      <c r="M12" s="422"/>
    </row>
    <row r="13" spans="1:13" x14ac:dyDescent="0.25">
      <c r="B13" s="419"/>
      <c r="C13" s="430" t="s">
        <v>957</v>
      </c>
      <c r="D13" s="430" t="s">
        <v>958</v>
      </c>
      <c r="E13" s="427">
        <f>'Pro 1'!G22</f>
        <v>0</v>
      </c>
      <c r="F13" s="427">
        <f>'Pro 1'!H22</f>
        <v>0</v>
      </c>
      <c r="G13" s="427">
        <f>'Pro 1'!I22</f>
        <v>0</v>
      </c>
      <c r="H13" s="427">
        <f>'Pro 1'!J22</f>
        <v>0</v>
      </c>
      <c r="I13" s="427">
        <f>'Pro 1'!K22</f>
        <v>0</v>
      </c>
      <c r="J13" s="431"/>
      <c r="K13" s="431"/>
      <c r="L13" s="430" t="str">
        <f t="shared" si="0"/>
        <v xml:space="preserve">Pour la transformation ultérieure
</v>
      </c>
      <c r="M13" s="422"/>
    </row>
    <row r="14" spans="1:13" x14ac:dyDescent="0.25">
      <c r="B14" s="419"/>
      <c r="C14" s="433" t="s">
        <v>460</v>
      </c>
      <c r="D14" s="433" t="s">
        <v>460</v>
      </c>
      <c r="E14" s="434">
        <f>SUM(E11:E13)</f>
        <v>0</v>
      </c>
      <c r="F14" s="434">
        <f t="shared" ref="F14:I14" si="1">SUM(F11:F13)</f>
        <v>0</v>
      </c>
      <c r="G14" s="434">
        <f t="shared" si="1"/>
        <v>0</v>
      </c>
      <c r="H14" s="434">
        <f t="shared" si="1"/>
        <v>0</v>
      </c>
      <c r="I14" s="434">
        <f t="shared" si="1"/>
        <v>0</v>
      </c>
      <c r="J14" s="435"/>
      <c r="K14" s="435"/>
      <c r="L14" s="433" t="str">
        <f t="shared" si="0"/>
        <v>Total - Production</v>
      </c>
      <c r="M14" s="422"/>
    </row>
    <row r="15" spans="1:13" x14ac:dyDescent="0.25">
      <c r="B15" s="419"/>
      <c r="C15" s="1019" t="s">
        <v>461</v>
      </c>
      <c r="D15" s="1019" t="s">
        <v>959</v>
      </c>
      <c r="E15" s="432">
        <f>'Pro 1'!G24</f>
        <v>0</v>
      </c>
      <c r="F15" s="432">
        <f>'Pro 1'!H24</f>
        <v>0</v>
      </c>
      <c r="G15" s="432">
        <f>'Pro 1'!I24</f>
        <v>0</v>
      </c>
      <c r="H15" s="432">
        <f>'Pro 1'!J24</f>
        <v>0</v>
      </c>
      <c r="I15" s="432">
        <f>'Pro 1'!K24</f>
        <v>0</v>
      </c>
      <c r="J15" s="431"/>
      <c r="K15" s="431"/>
      <c r="L15" s="1019" t="str">
        <f t="shared" si="0"/>
        <v>Autres marchandises produites sur le même équipement</v>
      </c>
      <c r="M15" s="422"/>
    </row>
    <row r="16" spans="1:13" x14ac:dyDescent="0.25">
      <c r="B16" s="419"/>
      <c r="C16" s="1019"/>
      <c r="D16" s="1019"/>
      <c r="E16" s="431"/>
      <c r="F16" s="431"/>
      <c r="G16" s="431"/>
      <c r="H16" s="431"/>
      <c r="I16" s="431"/>
      <c r="J16" s="431"/>
      <c r="K16" s="431"/>
      <c r="L16" s="1019">
        <f t="shared" si="0"/>
        <v>0</v>
      </c>
      <c r="M16" s="422"/>
    </row>
    <row r="17" spans="2:13" x14ac:dyDescent="0.25">
      <c r="B17" s="419"/>
      <c r="C17" s="420"/>
      <c r="D17" s="420"/>
      <c r="E17" s="436"/>
      <c r="F17" s="436"/>
      <c r="G17" s="436"/>
      <c r="H17" s="436"/>
      <c r="I17" s="436"/>
      <c r="J17" s="436"/>
      <c r="K17" s="437"/>
      <c r="L17" s="420"/>
      <c r="M17" s="422"/>
    </row>
    <row r="18" spans="2:13" x14ac:dyDescent="0.25">
      <c r="B18" s="423"/>
      <c r="C18" s="426" t="s">
        <v>960</v>
      </c>
      <c r="D18" s="426" t="s">
        <v>961</v>
      </c>
      <c r="E18" s="429"/>
      <c r="F18" s="429"/>
      <c r="G18" s="429"/>
      <c r="H18" s="429"/>
      <c r="I18" s="429"/>
      <c r="J18" s="429"/>
      <c r="K18" s="429"/>
      <c r="L18" s="426" t="str">
        <f t="shared" ref="L18:L24" si="2">D18</f>
        <v>Taux d'utilisation de la capacité (%)</v>
      </c>
      <c r="M18" s="422"/>
    </row>
    <row r="19" spans="2:13" x14ac:dyDescent="0.25">
      <c r="B19" s="419"/>
      <c r="C19" s="430" t="str">
        <f t="shared" ref="C19:D23" si="3">C11</f>
        <v>For domestic sales</v>
      </c>
      <c r="D19" s="430" t="str">
        <f t="shared" si="3"/>
        <v>Pour les ventes nationales</v>
      </c>
      <c r="E19" s="56">
        <f>IF(E$8=0,0,E11/E$8)*100</f>
        <v>0</v>
      </c>
      <c r="F19" s="56">
        <f t="shared" ref="F19:I23" si="4">IF(F$8=0,0,F11/F$8)*100</f>
        <v>0</v>
      </c>
      <c r="G19" s="56">
        <f t="shared" si="4"/>
        <v>0</v>
      </c>
      <c r="H19" s="56">
        <f t="shared" si="4"/>
        <v>0</v>
      </c>
      <c r="I19" s="56">
        <f t="shared" si="4"/>
        <v>0</v>
      </c>
      <c r="J19" s="431"/>
      <c r="K19" s="431"/>
      <c r="L19" s="430" t="str">
        <f t="shared" si="2"/>
        <v>Pour les ventes nationales</v>
      </c>
      <c r="M19" s="422"/>
    </row>
    <row r="20" spans="2:13" x14ac:dyDescent="0.25">
      <c r="B20" s="419"/>
      <c r="C20" s="430" t="str">
        <f t="shared" si="3"/>
        <v>For export sales</v>
      </c>
      <c r="D20" s="430" t="str">
        <f t="shared" si="3"/>
        <v xml:space="preserve">Pour les ventes à l'exportation </v>
      </c>
      <c r="E20" s="56">
        <f>IF(E$8=0,0,E12/E$8)*100</f>
        <v>0</v>
      </c>
      <c r="F20" s="56">
        <f t="shared" si="4"/>
        <v>0</v>
      </c>
      <c r="G20" s="56">
        <f t="shared" si="4"/>
        <v>0</v>
      </c>
      <c r="H20" s="56">
        <f t="shared" si="4"/>
        <v>0</v>
      </c>
      <c r="I20" s="56">
        <f t="shared" si="4"/>
        <v>0</v>
      </c>
      <c r="J20" s="431"/>
      <c r="K20" s="431"/>
      <c r="L20" s="430" t="str">
        <f t="shared" si="2"/>
        <v xml:space="preserve">Pour les ventes à l'exportation </v>
      </c>
      <c r="M20" s="422"/>
    </row>
    <row r="21" spans="2:13" x14ac:dyDescent="0.25">
      <c r="B21" s="419"/>
      <c r="C21" s="430" t="str">
        <f t="shared" si="3"/>
        <v>For further internal processing</v>
      </c>
      <c r="D21" s="430" t="str">
        <f t="shared" si="3"/>
        <v xml:space="preserve">Pour la transformation ultérieure
</v>
      </c>
      <c r="E21" s="56">
        <f>IF(E$8=0,0,E13/E$8)*100</f>
        <v>0</v>
      </c>
      <c r="F21" s="56">
        <f t="shared" si="4"/>
        <v>0</v>
      </c>
      <c r="G21" s="56">
        <f t="shared" si="4"/>
        <v>0</v>
      </c>
      <c r="H21" s="56">
        <f t="shared" si="4"/>
        <v>0</v>
      </c>
      <c r="I21" s="56">
        <f t="shared" si="4"/>
        <v>0</v>
      </c>
      <c r="J21" s="431"/>
      <c r="K21" s="431"/>
      <c r="L21" s="430" t="str">
        <f t="shared" si="2"/>
        <v xml:space="preserve">Pour la transformation ultérieure
</v>
      </c>
      <c r="M21" s="422"/>
    </row>
    <row r="22" spans="2:13" x14ac:dyDescent="0.25">
      <c r="B22" s="438"/>
      <c r="C22" s="433" t="str">
        <f t="shared" si="3"/>
        <v>Total - Production</v>
      </c>
      <c r="D22" s="433" t="str">
        <f t="shared" si="3"/>
        <v>Total - Production</v>
      </c>
      <c r="E22" s="434">
        <f>IF(E$8=0,0,E14/E$8)*100</f>
        <v>0</v>
      </c>
      <c r="F22" s="434">
        <f t="shared" si="4"/>
        <v>0</v>
      </c>
      <c r="G22" s="434">
        <f t="shared" si="4"/>
        <v>0</v>
      </c>
      <c r="H22" s="434">
        <f t="shared" si="4"/>
        <v>0</v>
      </c>
      <c r="I22" s="434">
        <f t="shared" si="4"/>
        <v>0</v>
      </c>
      <c r="J22" s="435"/>
      <c r="K22" s="435"/>
      <c r="L22" s="433" t="str">
        <f t="shared" si="2"/>
        <v>Total - Production</v>
      </c>
      <c r="M22" s="439"/>
    </row>
    <row r="23" spans="2:13" x14ac:dyDescent="0.25">
      <c r="B23" s="419"/>
      <c r="C23" s="1019" t="str">
        <f t="shared" si="3"/>
        <v>Other goods produced on the same equipment</v>
      </c>
      <c r="D23" s="1019" t="str">
        <f t="shared" si="3"/>
        <v>Autres marchandises produites sur le même équipement</v>
      </c>
      <c r="E23" s="56">
        <f>IF(E$8=0,0,E15/E$8)*100</f>
        <v>0</v>
      </c>
      <c r="F23" s="56">
        <f t="shared" si="4"/>
        <v>0</v>
      </c>
      <c r="G23" s="56">
        <f t="shared" si="4"/>
        <v>0</v>
      </c>
      <c r="H23" s="56">
        <f t="shared" si="4"/>
        <v>0</v>
      </c>
      <c r="I23" s="56">
        <f t="shared" si="4"/>
        <v>0</v>
      </c>
      <c r="J23" s="431"/>
      <c r="K23" s="431"/>
      <c r="L23" s="1019" t="str">
        <f t="shared" si="2"/>
        <v>Autres marchandises produites sur le même équipement</v>
      </c>
      <c r="M23" s="422"/>
    </row>
    <row r="24" spans="2:13" x14ac:dyDescent="0.25">
      <c r="B24" s="419"/>
      <c r="C24" s="1019"/>
      <c r="D24" s="1019"/>
      <c r="E24" s="440"/>
      <c r="F24" s="440"/>
      <c r="G24" s="440"/>
      <c r="H24" s="440"/>
      <c r="I24" s="440"/>
      <c r="J24" s="440"/>
      <c r="K24" s="440"/>
      <c r="L24" s="1019">
        <f t="shared" si="2"/>
        <v>0</v>
      </c>
      <c r="M24" s="422"/>
    </row>
    <row r="25" spans="2:13" x14ac:dyDescent="0.25">
      <c r="B25" s="419"/>
      <c r="C25" s="430"/>
      <c r="D25" s="430"/>
      <c r="E25" s="436"/>
      <c r="F25" s="436"/>
      <c r="G25" s="436"/>
      <c r="H25" s="436"/>
      <c r="I25" s="436"/>
      <c r="J25" s="436"/>
      <c r="K25" s="437"/>
      <c r="L25" s="430"/>
      <c r="M25" s="422"/>
    </row>
    <row r="26" spans="2:13" ht="15" customHeight="1" x14ac:dyDescent="0.25">
      <c r="B26" s="419"/>
      <c r="C26" s="441" t="s">
        <v>962</v>
      </c>
      <c r="D26" s="441" t="s">
        <v>963</v>
      </c>
      <c r="E26" s="437"/>
      <c r="F26" s="436"/>
      <c r="G26" s="436"/>
      <c r="H26" s="436"/>
      <c r="I26" s="436"/>
      <c r="J26" s="436"/>
      <c r="K26" s="437"/>
      <c r="L26" s="441" t="str">
        <f>D26</f>
        <v>Ventes nationales de la production nationale</v>
      </c>
      <c r="M26" s="422"/>
    </row>
    <row r="27" spans="2:13" x14ac:dyDescent="0.25">
      <c r="B27" s="419"/>
      <c r="C27" s="430" t="s">
        <v>463</v>
      </c>
      <c r="D27" s="430" t="s">
        <v>463</v>
      </c>
      <c r="E27" s="56">
        <f>SUM('Pro 2'!G28,'Pro 2'!G31,'Pro 2'!G34)</f>
        <v>0</v>
      </c>
      <c r="F27" s="56">
        <f>SUM('Pro 2'!H28,'Pro 2'!H31,'Pro 2'!H34)</f>
        <v>0</v>
      </c>
      <c r="G27" s="56">
        <f>SUM('Pro 2'!I28,'Pro 2'!I31,'Pro 2'!I34)</f>
        <v>0</v>
      </c>
      <c r="H27" s="56">
        <f>SUM('Pro 2'!J28,'Pro 2'!J31,'Pro 2'!J34)</f>
        <v>0</v>
      </c>
      <c r="I27" s="56">
        <f>SUM('Pro 2'!K28,'Pro 2'!K31,'Pro 2'!K34)</f>
        <v>0</v>
      </c>
      <c r="J27" s="431"/>
      <c r="K27" s="431"/>
      <c r="L27" s="430" t="str">
        <f>D27</f>
        <v>Total - Volume (tonnes)</v>
      </c>
      <c r="M27" s="422"/>
    </row>
    <row r="28" spans="2:13" x14ac:dyDescent="0.25">
      <c r="B28" s="419"/>
      <c r="C28" s="430" t="s">
        <v>536</v>
      </c>
      <c r="D28" s="430" t="s">
        <v>964</v>
      </c>
      <c r="E28" s="56">
        <f>SUM('Pro 2'!G29,'Pro 2'!G32,'Pro 2'!G35)/1000</f>
        <v>0</v>
      </c>
      <c r="F28" s="56">
        <f>SUM('Pro 2'!H29,'Pro 2'!H32,'Pro 2'!H35)/1000</f>
        <v>0</v>
      </c>
      <c r="G28" s="56">
        <f>SUM('Pro 2'!I29,'Pro 2'!I32,'Pro 2'!I35)/1000</f>
        <v>0</v>
      </c>
      <c r="H28" s="56">
        <f>SUM('Pro 2'!J29,'Pro 2'!J32,'Pro 2'!J35)/1000</f>
        <v>0</v>
      </c>
      <c r="I28" s="56">
        <f>SUM('Pro 2'!K29,'Pro 2'!K32,'Pro 2'!K35)/1000</f>
        <v>0</v>
      </c>
      <c r="J28" s="431"/>
      <c r="K28" s="431"/>
      <c r="L28" s="430" t="str">
        <f>D28</f>
        <v>Total - Valeur (000 $)</v>
      </c>
      <c r="M28" s="422"/>
    </row>
    <row r="29" spans="2:13" x14ac:dyDescent="0.25">
      <c r="B29" s="438"/>
      <c r="C29" s="433" t="s">
        <v>537</v>
      </c>
      <c r="D29" s="433" t="s">
        <v>965</v>
      </c>
      <c r="E29" s="434">
        <f>IF(E27=0,0,E28/E27)*1000</f>
        <v>0</v>
      </c>
      <c r="F29" s="434">
        <f t="shared" ref="F29:I29" si="5">IF(F27=0,0,F28/F27)*1000</f>
        <v>0</v>
      </c>
      <c r="G29" s="434">
        <f t="shared" si="5"/>
        <v>0</v>
      </c>
      <c r="H29" s="434">
        <f t="shared" si="5"/>
        <v>0</v>
      </c>
      <c r="I29" s="434">
        <f t="shared" si="5"/>
        <v>0</v>
      </c>
      <c r="J29" s="435"/>
      <c r="K29" s="435"/>
      <c r="L29" s="433" t="str">
        <f>D29</f>
        <v>Total - Valeur unitaire ($/tonne)</v>
      </c>
      <c r="M29" s="439"/>
    </row>
    <row r="30" spans="2:13" x14ac:dyDescent="0.25">
      <c r="B30" s="438"/>
      <c r="C30" s="420"/>
      <c r="D30" s="420"/>
      <c r="E30" s="435"/>
      <c r="F30" s="435"/>
      <c r="G30" s="435"/>
      <c r="H30" s="435"/>
      <c r="I30" s="435"/>
      <c r="J30" s="435"/>
      <c r="K30" s="435"/>
      <c r="L30" s="420"/>
      <c r="M30" s="422"/>
    </row>
    <row r="31" spans="2:13" x14ac:dyDescent="0.25">
      <c r="B31" s="419"/>
      <c r="C31" s="426" t="s">
        <v>566</v>
      </c>
      <c r="D31" s="426" t="s">
        <v>966</v>
      </c>
      <c r="E31" s="436"/>
      <c r="F31" s="436"/>
      <c r="G31" s="436"/>
      <c r="H31" s="436"/>
      <c r="I31" s="436"/>
      <c r="J31" s="436"/>
      <c r="K31" s="437"/>
      <c r="L31" s="426" t="str">
        <f>D31</f>
        <v xml:space="preserve">Ventes à l'exportation </v>
      </c>
      <c r="M31" s="422"/>
    </row>
    <row r="32" spans="2:13" x14ac:dyDescent="0.25">
      <c r="B32" s="419"/>
      <c r="C32" s="430" t="str">
        <f t="shared" ref="C32:D34" si="6">C27</f>
        <v>Total - Volume (tonnes)</v>
      </c>
      <c r="D32" s="430" t="str">
        <f t="shared" si="6"/>
        <v>Total - Volume (tonnes)</v>
      </c>
      <c r="E32" s="56">
        <f>'Pro 2'!G40</f>
        <v>0</v>
      </c>
      <c r="F32" s="56">
        <f>'Pro 2'!H40</f>
        <v>0</v>
      </c>
      <c r="G32" s="56">
        <f>'Pro 2'!I40</f>
        <v>0</v>
      </c>
      <c r="H32" s="56">
        <f>'Pro 2'!J40</f>
        <v>0</v>
      </c>
      <c r="I32" s="56">
        <f>'Pro 2'!K40</f>
        <v>0</v>
      </c>
      <c r="J32" s="431"/>
      <c r="K32" s="431"/>
      <c r="L32" s="430" t="str">
        <f>D32</f>
        <v>Total - Volume (tonnes)</v>
      </c>
      <c r="M32" s="422"/>
    </row>
    <row r="33" spans="2:13" x14ac:dyDescent="0.25">
      <c r="B33" s="419"/>
      <c r="C33" s="430" t="str">
        <f t="shared" si="6"/>
        <v>Total - Value ($000)</v>
      </c>
      <c r="D33" s="430" t="str">
        <f t="shared" si="6"/>
        <v>Total - Valeur (000 $)</v>
      </c>
      <c r="E33" s="56">
        <f>'Pro 2'!G41/1000</f>
        <v>0</v>
      </c>
      <c r="F33" s="56">
        <f>'Pro 2'!H41/1000</f>
        <v>0</v>
      </c>
      <c r="G33" s="56">
        <f>'Pro 2'!I41/1000</f>
        <v>0</v>
      </c>
      <c r="H33" s="56">
        <f>'Pro 2'!J41/1000</f>
        <v>0</v>
      </c>
      <c r="I33" s="56">
        <f>'Pro 2'!K41/1000</f>
        <v>0</v>
      </c>
      <c r="J33" s="431"/>
      <c r="K33" s="431"/>
      <c r="L33" s="430" t="str">
        <f>D33</f>
        <v>Total - Valeur (000 $)</v>
      </c>
      <c r="M33" s="422"/>
    </row>
    <row r="34" spans="2:13" x14ac:dyDescent="0.25">
      <c r="B34" s="438"/>
      <c r="C34" s="433" t="str">
        <f t="shared" si="6"/>
        <v>Total - Unit value ($/tonne)</v>
      </c>
      <c r="D34" s="433" t="str">
        <f t="shared" si="6"/>
        <v>Total - Valeur unitaire ($/tonne)</v>
      </c>
      <c r="E34" s="434">
        <f>IF(E32=0,0,E33/E32)*1000</f>
        <v>0</v>
      </c>
      <c r="F34" s="434">
        <f t="shared" ref="F34:I34" si="7">IF(F32=0,0,F33/F32)*1000</f>
        <v>0</v>
      </c>
      <c r="G34" s="434">
        <f t="shared" si="7"/>
        <v>0</v>
      </c>
      <c r="H34" s="434">
        <f t="shared" si="7"/>
        <v>0</v>
      </c>
      <c r="I34" s="434">
        <f t="shared" si="7"/>
        <v>0</v>
      </c>
      <c r="J34" s="435"/>
      <c r="K34" s="435"/>
      <c r="L34" s="433" t="str">
        <f>D34</f>
        <v>Total - Valeur unitaire ($/tonne)</v>
      </c>
      <c r="M34" s="439"/>
    </row>
    <row r="35" spans="2:13" x14ac:dyDescent="0.25">
      <c r="B35" s="419"/>
      <c r="C35" s="420"/>
      <c r="D35" s="420"/>
      <c r="E35" s="436"/>
      <c r="F35" s="436"/>
      <c r="G35" s="436"/>
      <c r="H35" s="436"/>
      <c r="I35" s="436"/>
      <c r="J35" s="436"/>
      <c r="K35" s="437"/>
      <c r="L35" s="420"/>
      <c r="M35" s="422"/>
    </row>
    <row r="36" spans="2:13" x14ac:dyDescent="0.25">
      <c r="B36" s="419"/>
      <c r="C36" s="426" t="s">
        <v>420</v>
      </c>
      <c r="D36" s="426" t="s">
        <v>219</v>
      </c>
      <c r="E36" s="436"/>
      <c r="F36" s="436"/>
      <c r="G36" s="436"/>
      <c r="H36" s="436"/>
      <c r="I36" s="436"/>
      <c r="J36" s="436"/>
      <c r="K36" s="437"/>
      <c r="L36" s="426" t="str">
        <f>D36</f>
        <v>Nombre d'employés</v>
      </c>
      <c r="M36" s="422"/>
    </row>
    <row r="37" spans="2:13" x14ac:dyDescent="0.25">
      <c r="B37" s="419"/>
      <c r="C37" s="430" t="s">
        <v>368</v>
      </c>
      <c r="D37" s="430" t="s">
        <v>67</v>
      </c>
      <c r="E37" s="432">
        <f>'Pro 3'!G92</f>
        <v>0</v>
      </c>
      <c r="F37" s="432">
        <f>'Pro 3'!H92</f>
        <v>0</v>
      </c>
      <c r="G37" s="432">
        <f>'Pro 3'!I92</f>
        <v>0</v>
      </c>
      <c r="H37" s="432">
        <f>'Pro 3'!J92</f>
        <v>0</v>
      </c>
      <c r="I37" s="432">
        <f>'Pro 3'!K92</f>
        <v>0</v>
      </c>
      <c r="J37" s="431"/>
      <c r="K37" s="431"/>
      <c r="L37" s="430" t="str">
        <f>D37</f>
        <v>Emploi direct</v>
      </c>
      <c r="M37" s="422"/>
    </row>
    <row r="38" spans="2:13" x14ac:dyDescent="0.25">
      <c r="B38" s="419"/>
      <c r="C38" s="430" t="s">
        <v>371</v>
      </c>
      <c r="D38" s="430" t="s">
        <v>69</v>
      </c>
      <c r="E38" s="432">
        <f>'Pro 3'!G93</f>
        <v>0</v>
      </c>
      <c r="F38" s="432">
        <f>'Pro 3'!H93</f>
        <v>0</v>
      </c>
      <c r="G38" s="432">
        <f>'Pro 3'!I93</f>
        <v>0</v>
      </c>
      <c r="H38" s="432">
        <f>'Pro 3'!J93</f>
        <v>0</v>
      </c>
      <c r="I38" s="432">
        <f>'Pro 3'!K93</f>
        <v>0</v>
      </c>
      <c r="J38" s="431"/>
      <c r="K38" s="431"/>
      <c r="L38" s="430" t="str">
        <f>D38</f>
        <v>Emploi indirect</v>
      </c>
      <c r="M38" s="422"/>
    </row>
    <row r="39" spans="2:13" x14ac:dyDescent="0.25">
      <c r="B39" s="438"/>
      <c r="C39" s="426" t="s">
        <v>967</v>
      </c>
      <c r="D39" s="426" t="s">
        <v>968</v>
      </c>
      <c r="E39" s="434">
        <f>SUM(E37:E38)</f>
        <v>0</v>
      </c>
      <c r="F39" s="434">
        <f t="shared" ref="F39:I39" si="8">SUM(F37:F38)</f>
        <v>0</v>
      </c>
      <c r="G39" s="434">
        <f t="shared" si="8"/>
        <v>0</v>
      </c>
      <c r="H39" s="434">
        <f t="shared" si="8"/>
        <v>0</v>
      </c>
      <c r="I39" s="434">
        <f t="shared" si="8"/>
        <v>0</v>
      </c>
      <c r="J39" s="435"/>
      <c r="K39" s="435"/>
      <c r="L39" s="426" t="str">
        <f>D39</f>
        <v>Total - Nombre d'employés</v>
      </c>
      <c r="M39" s="439"/>
    </row>
    <row r="40" spans="2:13" x14ac:dyDescent="0.25">
      <c r="B40" s="419"/>
      <c r="C40" s="442"/>
      <c r="D40" s="442"/>
      <c r="E40" s="436"/>
      <c r="F40" s="436"/>
      <c r="G40" s="436"/>
      <c r="H40" s="436"/>
      <c r="I40" s="436"/>
      <c r="J40" s="436"/>
      <c r="K40" s="437"/>
      <c r="L40" s="442"/>
      <c r="M40" s="422"/>
    </row>
    <row r="41" spans="2:13" x14ac:dyDescent="0.25">
      <c r="B41" s="419"/>
      <c r="C41" s="426" t="s">
        <v>969</v>
      </c>
      <c r="D41" s="426" t="s">
        <v>970</v>
      </c>
      <c r="E41" s="436"/>
      <c r="F41" s="436"/>
      <c r="G41" s="436"/>
      <c r="H41" s="436"/>
      <c r="I41" s="436"/>
      <c r="J41" s="436"/>
      <c r="K41" s="437"/>
      <c r="L41" s="426" t="str">
        <f>D41</f>
        <v>Nombre d'heures travaillées (000)</v>
      </c>
      <c r="M41" s="422"/>
    </row>
    <row r="42" spans="2:13" x14ac:dyDescent="0.25">
      <c r="B42" s="419"/>
      <c r="C42" s="430" t="str">
        <f>C37</f>
        <v>Direct employment</v>
      </c>
      <c r="D42" s="430" t="str">
        <f>D37</f>
        <v>Emploi direct</v>
      </c>
      <c r="E42" s="432">
        <f>'Pro 3'!G98/1000</f>
        <v>0</v>
      </c>
      <c r="F42" s="432">
        <f>'Pro 3'!H98/1000</f>
        <v>0</v>
      </c>
      <c r="G42" s="432">
        <f>'Pro 3'!I98/1000</f>
        <v>0</v>
      </c>
      <c r="H42" s="432">
        <f>'Pro 3'!J98/1000</f>
        <v>0</v>
      </c>
      <c r="I42" s="432">
        <f>'Pro 3'!K98/1000</f>
        <v>0</v>
      </c>
      <c r="J42" s="431"/>
      <c r="K42" s="431"/>
      <c r="L42" s="430" t="str">
        <f>D42</f>
        <v>Emploi direct</v>
      </c>
      <c r="M42" s="422"/>
    </row>
    <row r="43" spans="2:13" x14ac:dyDescent="0.25">
      <c r="B43" s="419"/>
      <c r="C43" s="430" t="str">
        <f>C38</f>
        <v>Indirect employment</v>
      </c>
      <c r="D43" s="430" t="str">
        <f>D38</f>
        <v>Emploi indirect</v>
      </c>
      <c r="E43" s="432">
        <f>'Pro 3'!G99/1000</f>
        <v>0</v>
      </c>
      <c r="F43" s="432">
        <f>'Pro 3'!H99/1000</f>
        <v>0</v>
      </c>
      <c r="G43" s="432">
        <f>'Pro 3'!I99/1000</f>
        <v>0</v>
      </c>
      <c r="H43" s="432">
        <f>'Pro 3'!J99/1000</f>
        <v>0</v>
      </c>
      <c r="I43" s="432">
        <f>'Pro 3'!K99/1000</f>
        <v>0</v>
      </c>
      <c r="J43" s="431"/>
      <c r="K43" s="431"/>
      <c r="L43" s="430" t="str">
        <f>D43</f>
        <v>Emploi indirect</v>
      </c>
      <c r="M43" s="422"/>
    </row>
    <row r="44" spans="2:13" x14ac:dyDescent="0.25">
      <c r="B44" s="438"/>
      <c r="C44" s="443" t="str">
        <f>"Total - "&amp;C41</f>
        <v>Total - Hours worked (000)</v>
      </c>
      <c r="D44" s="443" t="str">
        <f>"Total - "&amp;D41</f>
        <v>Total - Nombre d'heures travaillées (000)</v>
      </c>
      <c r="E44" s="434">
        <f>SUM(E42:E43)</f>
        <v>0</v>
      </c>
      <c r="F44" s="434">
        <f t="shared" ref="F44:I44" si="9">SUM(F42:F43)</f>
        <v>0</v>
      </c>
      <c r="G44" s="434">
        <f t="shared" si="9"/>
        <v>0</v>
      </c>
      <c r="H44" s="434">
        <f t="shared" si="9"/>
        <v>0</v>
      </c>
      <c r="I44" s="434">
        <f t="shared" si="9"/>
        <v>0</v>
      </c>
      <c r="J44" s="435"/>
      <c r="K44" s="435"/>
      <c r="L44" s="433" t="str">
        <f>D44</f>
        <v>Total - Nombre d'heures travaillées (000)</v>
      </c>
      <c r="M44" s="439"/>
    </row>
    <row r="45" spans="2:13" x14ac:dyDescent="0.25">
      <c r="B45" s="419"/>
      <c r="C45" s="442"/>
      <c r="D45" s="442"/>
      <c r="E45" s="431"/>
      <c r="F45" s="431"/>
      <c r="G45" s="431"/>
      <c r="H45" s="431"/>
      <c r="I45" s="431"/>
      <c r="J45" s="431"/>
      <c r="K45" s="431"/>
      <c r="L45" s="442"/>
      <c r="M45" s="422"/>
    </row>
    <row r="46" spans="2:13" x14ac:dyDescent="0.25">
      <c r="B46" s="419"/>
      <c r="C46" s="426" t="s">
        <v>531</v>
      </c>
      <c r="D46" s="426" t="s">
        <v>971</v>
      </c>
      <c r="E46" s="436"/>
      <c r="F46" s="436"/>
      <c r="G46" s="436"/>
      <c r="H46" s="436"/>
      <c r="I46" s="436"/>
      <c r="J46" s="436"/>
      <c r="K46" s="437"/>
      <c r="L46" s="426" t="str">
        <f>D46</f>
        <v>Salaires (000 $)</v>
      </c>
      <c r="M46" s="422"/>
    </row>
    <row r="47" spans="2:13" x14ac:dyDescent="0.25">
      <c r="B47" s="419"/>
      <c r="C47" s="430" t="str">
        <f>C42</f>
        <v>Direct employment</v>
      </c>
      <c r="D47" s="430" t="str">
        <f>D42</f>
        <v>Emploi direct</v>
      </c>
      <c r="E47" s="432">
        <f>(SUM('Pro 3'!G104:G105))/1000</f>
        <v>0</v>
      </c>
      <c r="F47" s="432">
        <f>(SUM('Pro 3'!H104:H105))/1000</f>
        <v>0</v>
      </c>
      <c r="G47" s="432">
        <f>(SUM('Pro 3'!I104:I105))/1000</f>
        <v>0</v>
      </c>
      <c r="H47" s="432">
        <f>(SUM('Pro 3'!J104:J105))/1000</f>
        <v>0</v>
      </c>
      <c r="I47" s="432">
        <f>(SUM('Pro 3'!K104:K105))/1000</f>
        <v>0</v>
      </c>
      <c r="J47" s="431"/>
      <c r="K47" s="431"/>
      <c r="L47" s="430" t="str">
        <f>D47</f>
        <v>Emploi direct</v>
      </c>
      <c r="M47" s="422"/>
    </row>
    <row r="48" spans="2:13" x14ac:dyDescent="0.25">
      <c r="B48" s="419"/>
      <c r="C48" s="430" t="str">
        <f>C43</f>
        <v>Indirect employment</v>
      </c>
      <c r="D48" s="430" t="str">
        <f>D43</f>
        <v>Emploi indirect</v>
      </c>
      <c r="E48" s="432">
        <f>'Pro 3'!G106/1000</f>
        <v>0</v>
      </c>
      <c r="F48" s="432">
        <f>'Pro 3'!H106/1000</f>
        <v>0</v>
      </c>
      <c r="G48" s="432">
        <f>'Pro 3'!I106/1000</f>
        <v>0</v>
      </c>
      <c r="H48" s="432">
        <f>'Pro 3'!J106/1000</f>
        <v>0</v>
      </c>
      <c r="I48" s="432">
        <f>'Pro 3'!K106/1000</f>
        <v>0</v>
      </c>
      <c r="J48" s="431"/>
      <c r="K48" s="431"/>
      <c r="L48" s="430" t="str">
        <f>D48</f>
        <v>Emploi indirect</v>
      </c>
      <c r="M48" s="422"/>
    </row>
    <row r="49" spans="2:13" x14ac:dyDescent="0.25">
      <c r="B49" s="438"/>
      <c r="C49" s="443" t="str">
        <f>"Total - "&amp;C46</f>
        <v>Total - Wages ($000)</v>
      </c>
      <c r="D49" s="443" t="str">
        <f>"Total - "&amp;D46</f>
        <v>Total - Salaires (000 $)</v>
      </c>
      <c r="E49" s="434">
        <f>SUM(E47:E48)</f>
        <v>0</v>
      </c>
      <c r="F49" s="434">
        <f t="shared" ref="F49:I49" si="10">SUM(F47:F48)</f>
        <v>0</v>
      </c>
      <c r="G49" s="434">
        <f t="shared" si="10"/>
        <v>0</v>
      </c>
      <c r="H49" s="434">
        <f t="shared" si="10"/>
        <v>0</v>
      </c>
      <c r="I49" s="434">
        <f t="shared" si="10"/>
        <v>0</v>
      </c>
      <c r="J49" s="435"/>
      <c r="K49" s="435"/>
      <c r="L49" s="433" t="str">
        <f>D49</f>
        <v>Total - Salaires (000 $)</v>
      </c>
      <c r="M49" s="439"/>
    </row>
    <row r="50" spans="2:13" x14ac:dyDescent="0.25">
      <c r="B50" s="419"/>
      <c r="C50" s="430"/>
      <c r="D50" s="430"/>
      <c r="E50" s="431"/>
      <c r="F50" s="431"/>
      <c r="G50" s="431"/>
      <c r="H50" s="431"/>
      <c r="I50" s="431"/>
      <c r="J50" s="431"/>
      <c r="K50" s="431"/>
      <c r="L50" s="430"/>
      <c r="M50" s="422"/>
    </row>
    <row r="51" spans="2:13" x14ac:dyDescent="0.25">
      <c r="B51" s="419"/>
      <c r="C51" s="426" t="s">
        <v>80</v>
      </c>
      <c r="D51" s="426" t="s">
        <v>81</v>
      </c>
      <c r="E51" s="431"/>
      <c r="F51" s="431"/>
      <c r="G51" s="431"/>
      <c r="H51" s="431"/>
      <c r="I51" s="431"/>
      <c r="J51" s="431"/>
      <c r="K51" s="431"/>
      <c r="L51" s="426" t="str">
        <f>D51</f>
        <v>Productivité</v>
      </c>
      <c r="M51" s="422"/>
    </row>
    <row r="52" spans="2:13" x14ac:dyDescent="0.25">
      <c r="B52" s="419"/>
      <c r="C52" s="430" t="s">
        <v>533</v>
      </c>
      <c r="D52" s="430" t="s">
        <v>972</v>
      </c>
      <c r="E52" s="56">
        <f>IF(E37=0,0,E$14/E37)</f>
        <v>0</v>
      </c>
      <c r="F52" s="56">
        <f t="shared" ref="F52:I52" si="11">IF(F37=0,0,F$14/F37)</f>
        <v>0</v>
      </c>
      <c r="G52" s="56">
        <f t="shared" si="11"/>
        <v>0</v>
      </c>
      <c r="H52" s="56">
        <f t="shared" si="11"/>
        <v>0</v>
      </c>
      <c r="I52" s="56">
        <f t="shared" si="11"/>
        <v>0</v>
      </c>
      <c r="J52" s="431"/>
      <c r="K52" s="431"/>
      <c r="L52" s="430" t="str">
        <f>D52</f>
        <v>Tonnes / employé (direct)</v>
      </c>
      <c r="M52" s="422"/>
    </row>
    <row r="53" spans="2:13" x14ac:dyDescent="0.25">
      <c r="B53" s="419"/>
      <c r="C53" s="430" t="s">
        <v>534</v>
      </c>
      <c r="D53" s="430" t="s">
        <v>973</v>
      </c>
      <c r="E53" s="56">
        <f>IF(E42=0,0,E$14/(E42*1000))</f>
        <v>0</v>
      </c>
      <c r="F53" s="56">
        <f t="shared" ref="F53:I53" si="12">IF(F42=0,0,F$14/(F42*1000))</f>
        <v>0</v>
      </c>
      <c r="G53" s="56">
        <f t="shared" si="12"/>
        <v>0</v>
      </c>
      <c r="H53" s="56">
        <f t="shared" si="12"/>
        <v>0</v>
      </c>
      <c r="I53" s="56">
        <f t="shared" si="12"/>
        <v>0</v>
      </c>
      <c r="J53" s="431"/>
      <c r="K53" s="431"/>
      <c r="L53" s="430" t="str">
        <f>D53</f>
        <v>Tonnes / heure travaillée (direct)</v>
      </c>
      <c r="M53" s="422"/>
    </row>
    <row r="54" spans="2:13" x14ac:dyDescent="0.25">
      <c r="B54" s="419"/>
      <c r="C54" s="442"/>
      <c r="D54" s="442"/>
      <c r="E54" s="431"/>
      <c r="F54" s="431"/>
      <c r="G54" s="431"/>
      <c r="H54" s="431"/>
      <c r="I54" s="431"/>
      <c r="J54" s="431"/>
      <c r="K54" s="431"/>
      <c r="L54" s="442"/>
      <c r="M54" s="422"/>
    </row>
    <row r="55" spans="2:13" x14ac:dyDescent="0.25">
      <c r="B55" s="419"/>
      <c r="C55" s="426" t="s">
        <v>535</v>
      </c>
      <c r="D55" s="426" t="s">
        <v>974</v>
      </c>
      <c r="E55" s="431"/>
      <c r="F55" s="431"/>
      <c r="G55" s="431"/>
      <c r="H55" s="431"/>
      <c r="I55" s="431"/>
      <c r="J55" s="431"/>
      <c r="K55" s="431"/>
      <c r="L55" s="426" t="str">
        <f>D55</f>
        <v>Stocks</v>
      </c>
      <c r="M55" s="422"/>
    </row>
    <row r="56" spans="2:13" x14ac:dyDescent="0.25">
      <c r="B56" s="419"/>
      <c r="C56" s="430" t="str">
        <f t="shared" ref="C56:D58" si="13">C32</f>
        <v>Total - Volume (tonnes)</v>
      </c>
      <c r="D56" s="430" t="str">
        <f t="shared" si="13"/>
        <v>Total - Volume (tonnes)</v>
      </c>
      <c r="E56" s="432">
        <f>'Pro 2'!G43</f>
        <v>0</v>
      </c>
      <c r="F56" s="432">
        <f>'Pro 2'!H43</f>
        <v>0</v>
      </c>
      <c r="G56" s="432">
        <f>'Pro 2'!I43</f>
        <v>0</v>
      </c>
      <c r="H56" s="432">
        <f>'Pro 2'!J43</f>
        <v>0</v>
      </c>
      <c r="I56" s="432">
        <f>'Pro 2'!K43</f>
        <v>0</v>
      </c>
      <c r="J56" s="431"/>
      <c r="K56" s="431"/>
      <c r="L56" s="430" t="str">
        <f>D56</f>
        <v>Total - Volume (tonnes)</v>
      </c>
      <c r="M56" s="422"/>
    </row>
    <row r="57" spans="2:13" x14ac:dyDescent="0.25">
      <c r="B57" s="419"/>
      <c r="C57" s="430" t="str">
        <f t="shared" si="13"/>
        <v>Total - Value ($000)</v>
      </c>
      <c r="D57" s="430" t="str">
        <f t="shared" si="13"/>
        <v>Total - Valeur (000 $)</v>
      </c>
      <c r="E57" s="432">
        <f>'Pro 2'!G44/1000</f>
        <v>0</v>
      </c>
      <c r="F57" s="432">
        <f>'Pro 2'!H44/1000</f>
        <v>0</v>
      </c>
      <c r="G57" s="432">
        <f>'Pro 2'!I44/1000</f>
        <v>0</v>
      </c>
      <c r="H57" s="432">
        <f>'Pro 2'!J44/1000</f>
        <v>0</v>
      </c>
      <c r="I57" s="432">
        <f>'Pro 2'!K44/1000</f>
        <v>0</v>
      </c>
      <c r="J57" s="431"/>
      <c r="K57" s="431"/>
      <c r="L57" s="430" t="str">
        <f>D57</f>
        <v>Total - Valeur (000 $)</v>
      </c>
      <c r="M57" s="422"/>
    </row>
    <row r="58" spans="2:13" x14ac:dyDescent="0.25">
      <c r="B58" s="438"/>
      <c r="C58" s="433" t="str">
        <f t="shared" si="13"/>
        <v>Total - Unit value ($/tonne)</v>
      </c>
      <c r="D58" s="433" t="str">
        <f t="shared" si="13"/>
        <v>Total - Valeur unitaire ($/tonne)</v>
      </c>
      <c r="E58" s="434">
        <f>IF(E56=0,0,E57/E56)*1000</f>
        <v>0</v>
      </c>
      <c r="F58" s="434">
        <f t="shared" ref="F58:I58" si="14">IF(F56=0,0,F57/F56)*1000</f>
        <v>0</v>
      </c>
      <c r="G58" s="434">
        <f t="shared" si="14"/>
        <v>0</v>
      </c>
      <c r="H58" s="434">
        <f t="shared" si="14"/>
        <v>0</v>
      </c>
      <c r="I58" s="434">
        <f t="shared" si="14"/>
        <v>0</v>
      </c>
      <c r="J58" s="435"/>
      <c r="K58" s="435"/>
      <c r="L58" s="433" t="str">
        <f>D58</f>
        <v>Total - Valeur unitaire ($/tonne)</v>
      </c>
      <c r="M58" s="439"/>
    </row>
    <row r="59" spans="2:13" x14ac:dyDescent="0.25">
      <c r="B59" s="419"/>
      <c r="C59" s="442"/>
      <c r="D59" s="442"/>
      <c r="E59" s="431"/>
      <c r="F59" s="431"/>
      <c r="G59" s="431"/>
      <c r="H59" s="431"/>
      <c r="I59" s="431"/>
      <c r="J59" s="431"/>
      <c r="K59" s="431"/>
      <c r="L59" s="442"/>
      <c r="M59" s="422"/>
    </row>
    <row r="60" spans="2:13" x14ac:dyDescent="0.25">
      <c r="B60" s="388"/>
      <c r="C60" s="442"/>
      <c r="D60" s="442"/>
      <c r="E60" s="431"/>
      <c r="F60" s="431"/>
      <c r="G60" s="431"/>
      <c r="H60" s="1018" t="s">
        <v>975</v>
      </c>
      <c r="I60" s="1018"/>
      <c r="J60" s="1018"/>
      <c r="K60" s="444"/>
      <c r="L60" s="442"/>
      <c r="M60" s="422"/>
    </row>
    <row r="61" spans="2:13" x14ac:dyDescent="0.25">
      <c r="B61" s="419"/>
      <c r="C61" s="442"/>
      <c r="D61" s="442"/>
      <c r="E61" s="371">
        <v>2022</v>
      </c>
      <c r="F61" s="371">
        <v>2023</v>
      </c>
      <c r="G61" s="371">
        <v>2024</v>
      </c>
      <c r="H61" s="445">
        <v>2025</v>
      </c>
      <c r="I61" s="445">
        <v>2027</v>
      </c>
      <c r="J61" s="445">
        <v>2028</v>
      </c>
      <c r="K61" s="429"/>
      <c r="L61" s="442"/>
      <c r="M61" s="422"/>
    </row>
    <row r="62" spans="2:13" x14ac:dyDescent="0.25">
      <c r="B62" s="419"/>
      <c r="C62" s="426" t="s">
        <v>976</v>
      </c>
      <c r="D62" s="426" t="s">
        <v>977</v>
      </c>
      <c r="E62" s="432">
        <f>'Pro 3'!E306/1000</f>
        <v>0</v>
      </c>
      <c r="F62" s="432">
        <f>'Pro 3'!F306/1000</f>
        <v>0</v>
      </c>
      <c r="G62" s="432">
        <f>'Pro 3'!G306/1000</f>
        <v>0</v>
      </c>
      <c r="H62" s="432">
        <f>'Pro 3'!H306/1000</f>
        <v>0</v>
      </c>
      <c r="I62" s="432">
        <f>'Pro 3'!I306/1000</f>
        <v>0</v>
      </c>
      <c r="J62" s="432">
        <f>'Pro 3'!J306/1000</f>
        <v>0</v>
      </c>
      <c r="K62" s="431"/>
      <c r="L62" s="426" t="str">
        <f>D62</f>
        <v>Investissements (000 $)</v>
      </c>
      <c r="M62" s="422"/>
    </row>
    <row r="63" spans="2:13" x14ac:dyDescent="0.25">
      <c r="B63" s="419"/>
      <c r="C63" s="446"/>
      <c r="D63" s="447"/>
      <c r="E63" s="420"/>
      <c r="F63" s="420"/>
      <c r="G63" s="420"/>
      <c r="H63" s="420"/>
      <c r="I63" s="420"/>
      <c r="J63" s="420"/>
      <c r="K63" s="420"/>
      <c r="L63" s="420"/>
      <c r="M63" s="422"/>
    </row>
    <row r="64" spans="2:13" x14ac:dyDescent="0.25">
      <c r="B64" s="419"/>
      <c r="C64" s="447" t="s">
        <v>947</v>
      </c>
      <c r="D64" s="447"/>
      <c r="E64" s="420"/>
      <c r="F64" s="420"/>
      <c r="G64" s="420"/>
      <c r="H64" s="420"/>
      <c r="I64" s="420"/>
      <c r="J64" s="420"/>
      <c r="K64" s="420"/>
      <c r="L64" s="420"/>
      <c r="M64" s="422"/>
    </row>
    <row r="65" spans="2:13" x14ac:dyDescent="0.25">
      <c r="B65" s="419"/>
      <c r="C65" s="447"/>
      <c r="D65" s="447"/>
      <c r="E65" s="420"/>
      <c r="F65" s="420"/>
      <c r="G65" s="420"/>
      <c r="H65" s="420"/>
      <c r="I65" s="420"/>
      <c r="J65" s="420"/>
      <c r="K65" s="420"/>
      <c r="L65" s="420"/>
      <c r="M65" s="422"/>
    </row>
    <row r="66" spans="2:13" x14ac:dyDescent="0.25">
      <c r="B66" s="419"/>
      <c r="C66" s="447" t="s">
        <v>949</v>
      </c>
      <c r="D66" s="447"/>
      <c r="E66" s="420"/>
      <c r="F66" s="420"/>
      <c r="G66" s="420"/>
      <c r="H66" s="420"/>
      <c r="I66" s="420"/>
      <c r="J66" s="420"/>
      <c r="K66" s="420"/>
      <c r="L66" s="420"/>
      <c r="M66" s="422"/>
    </row>
    <row r="67" spans="2:13" ht="15.75" thickBot="1" x14ac:dyDescent="0.3">
      <c r="B67" s="448"/>
      <c r="C67" s="407"/>
      <c r="D67" s="407"/>
      <c r="E67" s="449"/>
      <c r="F67" s="449"/>
      <c r="G67" s="449"/>
      <c r="H67" s="449"/>
      <c r="I67" s="449"/>
      <c r="J67" s="449"/>
      <c r="K67" s="449"/>
      <c r="L67" s="449"/>
      <c r="M67" s="450"/>
    </row>
  </sheetData>
  <sheetProtection algorithmName="SHA-512" hashValue="FnsV/a4OiMRUNTnMgpS1aYOn5DJGHcjbbVLSOCOgbzeolLTnvTdulikTdzwuqNkyrj83iiVIQeEK0D24+je0Qg==" saltValue="5IS+804ofQT0PUC67R7pfg==" spinCount="100000" sheet="1" objects="1" scenarios="1" selectLockedCells="1"/>
  <mergeCells count="8">
    <mergeCell ref="H60:J60"/>
    <mergeCell ref="H5:I5"/>
    <mergeCell ref="C15:C16"/>
    <mergeCell ref="D15:D16"/>
    <mergeCell ref="L15:L16"/>
    <mergeCell ref="C23:C24"/>
    <mergeCell ref="D23:D24"/>
    <mergeCell ref="L23:L24"/>
  </mergeCells>
  <dataValidations count="4">
    <dataValidation type="list" allowBlank="1" showInputMessage="1" showErrorMessage="1" sqref="H5:H7" xr:uid="{A0C37001-29E7-4D1A-873B-1380EBC5CD1B}">
      <formula1>$H$1:$H$3</formula1>
    </dataValidation>
    <dataValidation type="list" allowBlank="1" showInputMessage="1" showErrorMessage="1" sqref="C5:C8" xr:uid="{96757488-63AD-4EF5-BA68-0D6BEE0AF5D0}">
      <formula1>$C$1:$C$6</formula1>
    </dataValidation>
    <dataValidation type="list" allowBlank="1" showInputMessage="1" showErrorMessage="1" sqref="B5" xr:uid="{AF50BA20-6CD5-4154-9038-57425F5E4E6B}">
      <formula1>$B$1:$B$3</formula1>
    </dataValidation>
    <dataValidation type="list" allowBlank="1" showInputMessage="1" showErrorMessage="1" sqref="D5:D8" xr:uid="{3A52F559-BE89-4028-BA75-AF6929A705E4}">
      <formula1>$D$1:$D$8</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99B66-BD06-4FE4-A513-1B51FF4491D9}">
  <sheetPr>
    <tabColor rgb="FFFF0000"/>
  </sheetPr>
  <dimension ref="A4:W27"/>
  <sheetViews>
    <sheetView workbookViewId="0">
      <selection activeCell="R28" sqref="R28"/>
    </sheetView>
  </sheetViews>
  <sheetFormatPr defaultRowHeight="15" x14ac:dyDescent="0.25"/>
  <cols>
    <col min="1" max="1" width="2" customWidth="1"/>
    <col min="2" max="2" width="38.5703125" customWidth="1"/>
    <col min="3" max="3" width="9.28515625" hidden="1" customWidth="1"/>
    <col min="4" max="8" width="10" customWidth="1"/>
    <col min="9" max="9" width="0" hidden="1" customWidth="1"/>
    <col min="10" max="10" width="41.28515625" customWidth="1"/>
    <col min="11" max="11" width="2" customWidth="1"/>
    <col min="12" max="12" width="2.7109375" customWidth="1"/>
    <col min="13" max="13" width="4.28515625" customWidth="1"/>
    <col min="14" max="14" width="38.5703125" customWidth="1"/>
    <col min="15" max="15" width="9.28515625" hidden="1" customWidth="1"/>
    <col min="16" max="20" width="10" customWidth="1"/>
    <col min="21" max="21" width="0" hidden="1" customWidth="1"/>
    <col min="22" max="22" width="41.28515625" customWidth="1"/>
    <col min="23" max="23" width="4.28515625" customWidth="1"/>
  </cols>
  <sheetData>
    <row r="4" spans="1:23" x14ac:dyDescent="0.25">
      <c r="A4" s="362"/>
      <c r="B4" s="362"/>
      <c r="C4" s="362"/>
      <c r="D4" s="451">
        <f>'Pro 1'!G20</f>
        <v>0</v>
      </c>
      <c r="E4" s="451">
        <f>'Pro 1'!H20</f>
        <v>0</v>
      </c>
      <c r="F4" s="451">
        <f>'Pro 1'!I20</f>
        <v>0</v>
      </c>
      <c r="G4" s="451">
        <f>'Pro 1'!J20</f>
        <v>0</v>
      </c>
      <c r="H4" s="451">
        <f>'Pro 1'!K20</f>
        <v>0</v>
      </c>
      <c r="I4" s="452"/>
      <c r="J4" s="452"/>
      <c r="K4" s="452"/>
      <c r="L4" s="452"/>
      <c r="M4" s="452"/>
      <c r="P4" s="451">
        <f>'Pro 1'!G21</f>
        <v>0</v>
      </c>
      <c r="Q4" s="451">
        <f>'Pro 1'!H21</f>
        <v>0</v>
      </c>
      <c r="R4" s="451">
        <f>'Pro 1'!I21</f>
        <v>0</v>
      </c>
      <c r="S4" s="451">
        <f>'Pro 1'!J21</f>
        <v>0</v>
      </c>
      <c r="T4" s="451">
        <f>'Pro 1'!K21</f>
        <v>0</v>
      </c>
    </row>
    <row r="5" spans="1:23" ht="15.75" thickBot="1" x14ac:dyDescent="0.3">
      <c r="A5" s="367"/>
      <c r="B5" s="367"/>
      <c r="C5" s="367"/>
      <c r="D5" s="453"/>
      <c r="E5" s="453"/>
      <c r="F5" s="453"/>
      <c r="G5" s="453"/>
      <c r="H5" s="454"/>
      <c r="I5" s="455"/>
      <c r="J5" s="456"/>
      <c r="K5" s="456"/>
      <c r="L5" s="456"/>
      <c r="M5" s="456"/>
    </row>
    <row r="6" spans="1:23" x14ac:dyDescent="0.25">
      <c r="A6" s="358"/>
      <c r="B6" s="457"/>
      <c r="C6" s="457"/>
      <c r="D6" s="360"/>
      <c r="E6" s="360"/>
      <c r="F6" s="360"/>
      <c r="G6" s="360"/>
      <c r="H6" s="360"/>
      <c r="I6" s="360"/>
      <c r="J6" s="458"/>
      <c r="K6" s="361"/>
      <c r="L6" s="98"/>
      <c r="M6" s="358"/>
      <c r="N6" s="457"/>
      <c r="O6" s="457"/>
      <c r="P6" s="360"/>
      <c r="Q6" s="360"/>
      <c r="R6" s="360"/>
      <c r="S6" s="360"/>
      <c r="T6" s="360"/>
      <c r="U6" s="360"/>
      <c r="V6" s="458"/>
      <c r="W6" s="361"/>
    </row>
    <row r="7" spans="1:23" x14ac:dyDescent="0.25">
      <c r="A7" s="369"/>
      <c r="B7" s="459"/>
      <c r="C7" s="459"/>
      <c r="D7" s="364"/>
      <c r="E7" s="364"/>
      <c r="F7" s="364"/>
      <c r="G7" s="364"/>
      <c r="H7" s="364"/>
      <c r="I7" s="364"/>
      <c r="J7" s="459"/>
      <c r="K7" s="398"/>
      <c r="L7" s="399"/>
      <c r="M7" s="388"/>
      <c r="N7" s="459"/>
      <c r="O7" s="459"/>
      <c r="P7" s="364"/>
      <c r="Q7" s="364"/>
      <c r="R7" s="364"/>
      <c r="S7" s="364"/>
      <c r="T7" s="364"/>
      <c r="U7" s="364"/>
      <c r="V7" s="459"/>
      <c r="W7" s="398"/>
    </row>
    <row r="8" spans="1:23" x14ac:dyDescent="0.25">
      <c r="A8" s="369"/>
      <c r="B8" s="409">
        <f>Intro!E101</f>
        <v>0</v>
      </c>
      <c r="C8" s="371"/>
      <c r="D8" s="1020" t="s">
        <v>978</v>
      </c>
      <c r="E8" s="1020"/>
      <c r="F8" s="1020"/>
      <c r="G8" s="1020"/>
      <c r="H8" s="1020"/>
      <c r="I8" s="460"/>
      <c r="J8" s="459"/>
      <c r="K8" s="398"/>
      <c r="L8" s="399"/>
      <c r="M8" s="388"/>
      <c r="N8" s="409">
        <f>B8</f>
        <v>0</v>
      </c>
      <c r="O8" s="371"/>
      <c r="P8" s="1020" t="str">
        <f>D8</f>
        <v>$/tonne manufactured | $/tonne fabriquée</v>
      </c>
      <c r="Q8" s="1020"/>
      <c r="R8" s="1020"/>
      <c r="S8" s="1020"/>
      <c r="T8" s="1020"/>
      <c r="U8" s="460"/>
      <c r="V8" s="459"/>
      <c r="W8" s="398"/>
    </row>
    <row r="9" spans="1:23" x14ac:dyDescent="0.25">
      <c r="A9" s="369"/>
      <c r="B9" s="365"/>
      <c r="C9" s="365"/>
      <c r="D9" s="365"/>
      <c r="E9" s="365"/>
      <c r="F9" s="365"/>
      <c r="G9" s="1014" t="s">
        <v>933</v>
      </c>
      <c r="H9" s="1014"/>
      <c r="I9" s="368"/>
      <c r="J9" s="461"/>
      <c r="K9" s="366"/>
      <c r="L9" s="98"/>
      <c r="M9" s="369"/>
      <c r="N9" s="365"/>
      <c r="O9" s="365"/>
      <c r="P9" s="365"/>
      <c r="Q9" s="365"/>
      <c r="R9" s="365"/>
      <c r="S9" s="1021" t="str">
        <f>G9</f>
        <v>Jan. - Jun.  |  janv. - juin</v>
      </c>
      <c r="T9" s="1021"/>
      <c r="U9" s="462"/>
      <c r="V9" s="461"/>
      <c r="W9" s="366"/>
    </row>
    <row r="10" spans="1:23" x14ac:dyDescent="0.25">
      <c r="A10" s="369"/>
      <c r="B10" s="463" t="s">
        <v>979</v>
      </c>
      <c r="C10" s="463" t="s">
        <v>980</v>
      </c>
      <c r="D10" s="464">
        <v>2022</v>
      </c>
      <c r="E10" s="464">
        <v>2023</v>
      </c>
      <c r="F10" s="464">
        <v>2024</v>
      </c>
      <c r="G10" s="464">
        <v>2024</v>
      </c>
      <c r="H10" s="464">
        <v>2025</v>
      </c>
      <c r="I10" s="464"/>
      <c r="J10" s="465" t="str">
        <f>C10</f>
        <v>Matériaux</v>
      </c>
      <c r="K10" s="366"/>
      <c r="L10" s="98"/>
      <c r="M10" s="369"/>
      <c r="N10" s="463" t="str">
        <f>B10</f>
        <v>Material</v>
      </c>
      <c r="O10" s="463" t="str">
        <f>C10</f>
        <v>Matériaux</v>
      </c>
      <c r="P10" s="464">
        <f>D10</f>
        <v>2022</v>
      </c>
      <c r="Q10" s="464">
        <f>E10</f>
        <v>2023</v>
      </c>
      <c r="R10" s="464">
        <f>F10</f>
        <v>2024</v>
      </c>
      <c r="S10" s="464">
        <f>G10</f>
        <v>2024</v>
      </c>
      <c r="T10" s="464">
        <f>H10</f>
        <v>2025</v>
      </c>
      <c r="U10" s="464"/>
      <c r="V10" s="465" t="str">
        <f>O10</f>
        <v>Matériaux</v>
      </c>
      <c r="W10" s="366"/>
    </row>
    <row r="11" spans="1:23" x14ac:dyDescent="0.25">
      <c r="A11" s="466"/>
      <c r="B11" s="467"/>
      <c r="C11" s="467"/>
      <c r="D11" s="468"/>
      <c r="E11" s="468"/>
      <c r="F11" s="468"/>
      <c r="G11" s="468"/>
      <c r="H11" s="468"/>
      <c r="I11" s="468"/>
      <c r="J11" s="469"/>
      <c r="K11" s="470"/>
      <c r="L11" s="471"/>
      <c r="M11" s="466"/>
      <c r="N11" s="467"/>
      <c r="O11" s="467"/>
      <c r="P11" s="468"/>
      <c r="Q11" s="468"/>
      <c r="R11" s="468"/>
      <c r="S11" s="468"/>
      <c r="T11" s="468"/>
      <c r="U11" s="468"/>
      <c r="V11" s="469"/>
      <c r="W11" s="470"/>
    </row>
    <row r="12" spans="1:23" x14ac:dyDescent="0.25">
      <c r="A12" s="369"/>
      <c r="B12" s="393" t="str">
        <f>""""&amp;B23&amp;""""</f>
        <v>"0"</v>
      </c>
      <c r="C12" s="472" t="str">
        <f>"« "&amp;C23&amp;" » "</f>
        <v xml:space="preserve">« 0 » </v>
      </c>
      <c r="D12" s="473">
        <f>IF(ISERROR(D23/D$4),0,(D23/D$4))*1000</f>
        <v>0</v>
      </c>
      <c r="E12" s="473">
        <f t="shared" ref="E12:H12" si="0">IF(ISERROR(E23/E$4),0,(E23/E$4))*1000</f>
        <v>0</v>
      </c>
      <c r="F12" s="473">
        <f t="shared" si="0"/>
        <v>0</v>
      </c>
      <c r="G12" s="473">
        <f t="shared" si="0"/>
        <v>0</v>
      </c>
      <c r="H12" s="473">
        <f t="shared" si="0"/>
        <v>0</v>
      </c>
      <c r="I12" s="473"/>
      <c r="J12" s="474" t="str">
        <f>C12</f>
        <v xml:space="preserve">« 0 » </v>
      </c>
      <c r="K12" s="366"/>
      <c r="L12" s="98"/>
      <c r="M12" s="369"/>
      <c r="N12" s="393" t="str">
        <f>""""&amp;N23&amp;""""</f>
        <v>"0"</v>
      </c>
      <c r="O12" s="472" t="str">
        <f>"« "&amp;O23&amp;" » "</f>
        <v xml:space="preserve">« 0 » </v>
      </c>
      <c r="P12" s="473">
        <f>IF(ISERROR(P23/P$4),0,(P23/P$4))*1000</f>
        <v>0</v>
      </c>
      <c r="Q12" s="473">
        <f t="shared" ref="Q12:T12" si="1">IF(ISERROR(Q23/Q$4),0,(Q23/Q$4))*1000</f>
        <v>0</v>
      </c>
      <c r="R12" s="473">
        <f t="shared" si="1"/>
        <v>0</v>
      </c>
      <c r="S12" s="473">
        <f t="shared" si="1"/>
        <v>0</v>
      </c>
      <c r="T12" s="473">
        <f t="shared" si="1"/>
        <v>0</v>
      </c>
      <c r="U12" s="473"/>
      <c r="V12" s="475" t="str">
        <f>O12</f>
        <v xml:space="preserve">« 0 » </v>
      </c>
      <c r="W12" s="366"/>
    </row>
    <row r="13" spans="1:23" x14ac:dyDescent="0.25">
      <c r="A13" s="369"/>
      <c r="B13" s="393" t="str">
        <f t="shared" ref="B13:B14" si="2">""""&amp;B24&amp;""""</f>
        <v>"0"</v>
      </c>
      <c r="C13" s="472" t="str">
        <f t="shared" ref="C13:C14" si="3">"« "&amp;C24&amp;" » "</f>
        <v xml:space="preserve">« 0 » </v>
      </c>
      <c r="D13" s="473">
        <f t="shared" ref="D13:H16" si="4">IF(ISERROR(D24/D$4),0,(D24/D$4))*1000</f>
        <v>0</v>
      </c>
      <c r="E13" s="473">
        <f t="shared" si="4"/>
        <v>0</v>
      </c>
      <c r="F13" s="473">
        <f t="shared" si="4"/>
        <v>0</v>
      </c>
      <c r="G13" s="473">
        <f t="shared" si="4"/>
        <v>0</v>
      </c>
      <c r="H13" s="473">
        <f t="shared" si="4"/>
        <v>0</v>
      </c>
      <c r="I13" s="473"/>
      <c r="J13" s="474" t="str">
        <f>C13</f>
        <v xml:space="preserve">« 0 » </v>
      </c>
      <c r="K13" s="366"/>
      <c r="L13" s="98"/>
      <c r="M13" s="369"/>
      <c r="N13" s="393" t="str">
        <f t="shared" ref="N13:N14" si="5">""""&amp;N24&amp;""""</f>
        <v>"0"</v>
      </c>
      <c r="O13" s="472" t="str">
        <f t="shared" ref="O13:O14" si="6">"« "&amp;O24&amp;" » "</f>
        <v xml:space="preserve">« 0 » </v>
      </c>
      <c r="P13" s="473">
        <f t="shared" ref="P13:T16" si="7">IF(ISERROR(P24/P$4),0,(P24/P$4))*1000</f>
        <v>0</v>
      </c>
      <c r="Q13" s="473">
        <f t="shared" si="7"/>
        <v>0</v>
      </c>
      <c r="R13" s="473">
        <f t="shared" si="7"/>
        <v>0</v>
      </c>
      <c r="S13" s="473">
        <f t="shared" si="7"/>
        <v>0</v>
      </c>
      <c r="T13" s="473">
        <f t="shared" si="7"/>
        <v>0</v>
      </c>
      <c r="U13" s="473"/>
      <c r="V13" s="475" t="str">
        <f>O13</f>
        <v xml:space="preserve">« 0 » </v>
      </c>
      <c r="W13" s="366"/>
    </row>
    <row r="14" spans="1:23" x14ac:dyDescent="0.25">
      <c r="A14" s="369"/>
      <c r="B14" s="393" t="str">
        <f t="shared" si="2"/>
        <v>"0"</v>
      </c>
      <c r="C14" s="472" t="str">
        <f t="shared" si="3"/>
        <v xml:space="preserve">« 0 » </v>
      </c>
      <c r="D14" s="473">
        <f t="shared" si="4"/>
        <v>0</v>
      </c>
      <c r="E14" s="473">
        <f t="shared" si="4"/>
        <v>0</v>
      </c>
      <c r="F14" s="473">
        <f t="shared" si="4"/>
        <v>0</v>
      </c>
      <c r="G14" s="473">
        <f t="shared" si="4"/>
        <v>0</v>
      </c>
      <c r="H14" s="473">
        <f t="shared" si="4"/>
        <v>0</v>
      </c>
      <c r="I14" s="473"/>
      <c r="J14" s="474" t="str">
        <f>C14</f>
        <v xml:space="preserve">« 0 » </v>
      </c>
      <c r="K14" s="366"/>
      <c r="L14" s="98"/>
      <c r="M14" s="369"/>
      <c r="N14" s="393" t="str">
        <f t="shared" si="5"/>
        <v>"0"</v>
      </c>
      <c r="O14" s="472" t="str">
        <f t="shared" si="6"/>
        <v xml:space="preserve">« 0 » </v>
      </c>
      <c r="P14" s="473">
        <f t="shared" si="7"/>
        <v>0</v>
      </c>
      <c r="Q14" s="473">
        <f t="shared" si="7"/>
        <v>0</v>
      </c>
      <c r="R14" s="473">
        <f t="shared" si="7"/>
        <v>0</v>
      </c>
      <c r="S14" s="473">
        <f t="shared" si="7"/>
        <v>0</v>
      </c>
      <c r="T14" s="473">
        <f t="shared" si="7"/>
        <v>0</v>
      </c>
      <c r="U14" s="473"/>
      <c r="V14" s="475" t="str">
        <f>O14</f>
        <v xml:space="preserve">« 0 » </v>
      </c>
      <c r="W14" s="366"/>
    </row>
    <row r="15" spans="1:23" ht="26.25" x14ac:dyDescent="0.25">
      <c r="A15" s="369"/>
      <c r="B15" s="393" t="str">
        <f t="shared" ref="B15:C15" si="8">B26</f>
        <v>All other direct materials used</v>
      </c>
      <c r="C15" s="472" t="str">
        <f t="shared" si="8"/>
        <v>Toutes les autres matières directes utilisées</v>
      </c>
      <c r="D15" s="473">
        <f t="shared" si="4"/>
        <v>0</v>
      </c>
      <c r="E15" s="473">
        <f t="shared" si="4"/>
        <v>0</v>
      </c>
      <c r="F15" s="473">
        <f t="shared" si="4"/>
        <v>0</v>
      </c>
      <c r="G15" s="473">
        <f t="shared" si="4"/>
        <v>0</v>
      </c>
      <c r="H15" s="473">
        <f t="shared" si="4"/>
        <v>0</v>
      </c>
      <c r="I15" s="473"/>
      <c r="J15" s="476" t="str">
        <f>C15</f>
        <v>Toutes les autres matières directes utilisées</v>
      </c>
      <c r="K15" s="366"/>
      <c r="L15" s="98"/>
      <c r="M15" s="369"/>
      <c r="N15" s="477" t="str">
        <f>B15</f>
        <v>All other direct materials used</v>
      </c>
      <c r="O15" s="472" t="str">
        <f t="shared" ref="O15" si="9">O26</f>
        <v>Toutes les autres matières directes utilisées</v>
      </c>
      <c r="P15" s="473">
        <f t="shared" si="7"/>
        <v>0</v>
      </c>
      <c r="Q15" s="473">
        <f t="shared" si="7"/>
        <v>0</v>
      </c>
      <c r="R15" s="473">
        <f t="shared" si="7"/>
        <v>0</v>
      </c>
      <c r="S15" s="473">
        <f t="shared" si="7"/>
        <v>0</v>
      </c>
      <c r="T15" s="473">
        <f t="shared" si="7"/>
        <v>0</v>
      </c>
      <c r="U15" s="473"/>
      <c r="V15" s="475" t="str">
        <f>O15</f>
        <v>Toutes les autres matières directes utilisées</v>
      </c>
      <c r="W15" s="366"/>
    </row>
    <row r="16" spans="1:23" x14ac:dyDescent="0.25">
      <c r="A16" s="388"/>
      <c r="B16" s="364" t="s">
        <v>981</v>
      </c>
      <c r="C16" s="478" t="str">
        <f>B16</f>
        <v>TOTAL</v>
      </c>
      <c r="D16" s="479">
        <f t="shared" si="4"/>
        <v>0</v>
      </c>
      <c r="E16" s="479">
        <f t="shared" si="4"/>
        <v>0</v>
      </c>
      <c r="F16" s="479">
        <f t="shared" si="4"/>
        <v>0</v>
      </c>
      <c r="G16" s="479">
        <f t="shared" si="4"/>
        <v>0</v>
      </c>
      <c r="H16" s="479">
        <f t="shared" si="4"/>
        <v>0</v>
      </c>
      <c r="I16" s="480"/>
      <c r="J16" s="481" t="str">
        <f>C16</f>
        <v>TOTAL</v>
      </c>
      <c r="K16" s="398"/>
      <c r="L16" s="399"/>
      <c r="M16" s="388"/>
      <c r="N16" s="364" t="str">
        <f>B16</f>
        <v>TOTAL</v>
      </c>
      <c r="O16" s="478" t="str">
        <f>C16</f>
        <v>TOTAL</v>
      </c>
      <c r="P16" s="479">
        <f t="shared" si="7"/>
        <v>0</v>
      </c>
      <c r="Q16" s="479">
        <f t="shared" si="7"/>
        <v>0</v>
      </c>
      <c r="R16" s="479">
        <f t="shared" si="7"/>
        <v>0</v>
      </c>
      <c r="S16" s="479">
        <f t="shared" si="7"/>
        <v>0</v>
      </c>
      <c r="T16" s="479">
        <f t="shared" si="7"/>
        <v>0</v>
      </c>
      <c r="U16" s="480"/>
      <c r="V16" s="481" t="str">
        <f>O16</f>
        <v>TOTAL</v>
      </c>
      <c r="W16" s="398"/>
    </row>
    <row r="17" spans="1:23" x14ac:dyDescent="0.25">
      <c r="A17" s="369"/>
      <c r="B17" s="365"/>
      <c r="C17" s="365"/>
      <c r="D17" s="365"/>
      <c r="E17" s="365"/>
      <c r="F17" s="365"/>
      <c r="G17" s="365"/>
      <c r="H17" s="365"/>
      <c r="I17" s="365"/>
      <c r="J17" s="402"/>
      <c r="K17" s="366"/>
      <c r="L17" s="98"/>
      <c r="M17" s="369"/>
      <c r="N17" s="365"/>
      <c r="O17" s="365"/>
      <c r="P17" s="365"/>
      <c r="Q17" s="365"/>
      <c r="R17" s="365"/>
      <c r="S17" s="365"/>
      <c r="T17" s="365"/>
      <c r="U17" s="365"/>
      <c r="V17" s="402"/>
      <c r="W17" s="366"/>
    </row>
    <row r="18" spans="1:23" x14ac:dyDescent="0.25">
      <c r="A18" s="369"/>
      <c r="B18" s="482" t="s">
        <v>949</v>
      </c>
      <c r="C18" s="447"/>
      <c r="D18" s="365"/>
      <c r="E18" s="365"/>
      <c r="F18" s="365"/>
      <c r="G18" s="365"/>
      <c r="H18" s="365"/>
      <c r="I18" s="365"/>
      <c r="J18" s="365"/>
      <c r="K18" s="366"/>
      <c r="L18" s="98"/>
      <c r="M18" s="369"/>
      <c r="N18" s="482" t="str">
        <f>B18</f>
        <v>Source: Reply to CITT questionnaire.  |  Réponse au questionnaire du TCCE.</v>
      </c>
      <c r="O18" s="447"/>
      <c r="P18" s="365"/>
      <c r="Q18" s="365"/>
      <c r="R18" s="365"/>
      <c r="S18" s="365"/>
      <c r="T18" s="365"/>
      <c r="U18" s="365"/>
      <c r="V18" s="365"/>
      <c r="W18" s="366"/>
    </row>
    <row r="19" spans="1:23" ht="15.75" thickBot="1" x14ac:dyDescent="0.3">
      <c r="A19" s="406"/>
      <c r="B19" s="407"/>
      <c r="C19" s="407"/>
      <c r="D19" s="407"/>
      <c r="E19" s="407"/>
      <c r="F19" s="407"/>
      <c r="G19" s="407"/>
      <c r="H19" s="407"/>
      <c r="I19" s="407"/>
      <c r="J19" s="407"/>
      <c r="K19" s="408"/>
      <c r="L19" s="98"/>
      <c r="M19" s="406"/>
      <c r="N19" s="407"/>
      <c r="O19" s="407"/>
      <c r="P19" s="407"/>
      <c r="Q19" s="407"/>
      <c r="R19" s="407"/>
      <c r="S19" s="407"/>
      <c r="T19" s="407"/>
      <c r="U19" s="407"/>
      <c r="V19" s="407"/>
      <c r="W19" s="408"/>
    </row>
    <row r="20" spans="1:23" x14ac:dyDescent="0.25">
      <c r="A20" s="98"/>
      <c r="B20" s="98"/>
      <c r="C20" s="98"/>
      <c r="D20" s="98"/>
      <c r="E20" s="98"/>
      <c r="F20" s="98"/>
      <c r="G20" s="98"/>
      <c r="H20" s="98"/>
      <c r="I20" s="98"/>
      <c r="J20" s="98"/>
      <c r="K20" s="98"/>
      <c r="L20" s="98"/>
      <c r="M20" s="98"/>
      <c r="N20" s="98"/>
      <c r="O20" s="98"/>
      <c r="P20" s="98"/>
      <c r="Q20" s="98"/>
      <c r="R20" s="98"/>
      <c r="S20" s="98"/>
      <c r="T20" s="98"/>
      <c r="U20" s="98"/>
      <c r="V20" s="98"/>
      <c r="W20" s="98"/>
    </row>
    <row r="21" spans="1:23" x14ac:dyDescent="0.25">
      <c r="A21" s="98"/>
      <c r="B21" s="98"/>
      <c r="C21" s="98"/>
      <c r="D21" s="98"/>
      <c r="E21" s="98"/>
      <c r="F21" s="98"/>
      <c r="G21" s="98"/>
      <c r="H21" s="98"/>
      <c r="I21" s="98"/>
      <c r="J21" s="98"/>
      <c r="K21" s="98"/>
      <c r="L21" s="98"/>
      <c r="M21" s="98"/>
      <c r="N21" s="98"/>
      <c r="O21" s="98"/>
      <c r="P21" s="98"/>
      <c r="Q21" s="98"/>
      <c r="R21" s="98"/>
      <c r="S21" s="98"/>
      <c r="T21" s="98"/>
      <c r="U21" s="98"/>
      <c r="V21" s="98"/>
      <c r="W21" s="98"/>
    </row>
    <row r="22" spans="1:23" x14ac:dyDescent="0.25">
      <c r="A22" s="98"/>
      <c r="B22" s="98"/>
      <c r="C22" s="98"/>
      <c r="D22" s="98"/>
      <c r="E22" s="98"/>
      <c r="F22" s="98"/>
      <c r="G22" s="98"/>
      <c r="H22" s="98"/>
      <c r="I22" s="98"/>
      <c r="J22" s="98"/>
      <c r="K22" s="98"/>
      <c r="L22" s="98"/>
      <c r="M22" s="98"/>
      <c r="N22" s="98"/>
      <c r="O22" s="98"/>
      <c r="P22" s="98"/>
      <c r="Q22" s="98"/>
      <c r="R22" s="98"/>
      <c r="S22" s="98"/>
      <c r="T22" s="98"/>
      <c r="U22" s="98"/>
      <c r="V22" s="98"/>
      <c r="W22" s="98"/>
    </row>
    <row r="23" spans="1:23" x14ac:dyDescent="0.25">
      <c r="A23" s="98"/>
      <c r="B23" s="483">
        <f>Public!D174</f>
        <v>0</v>
      </c>
      <c r="C23" s="98">
        <f>B23</f>
        <v>0</v>
      </c>
      <c r="D23" s="484">
        <f>'Pro 3'!G25/1000</f>
        <v>0</v>
      </c>
      <c r="E23" s="484">
        <f>'Pro 3'!H25/1000</f>
        <v>0</v>
      </c>
      <c r="F23" s="484">
        <f>'Pro 3'!I25/1000</f>
        <v>0</v>
      </c>
      <c r="G23" s="484">
        <f>'Pro 3'!J25/1000</f>
        <v>0</v>
      </c>
      <c r="H23" s="484">
        <f>'Pro 3'!K25/1000</f>
        <v>0</v>
      </c>
      <c r="I23" s="485"/>
      <c r="J23" s="485"/>
      <c r="K23" s="98"/>
      <c r="L23" s="98"/>
      <c r="M23" s="98"/>
      <c r="N23" s="483">
        <f>B23</f>
        <v>0</v>
      </c>
      <c r="O23" s="98">
        <f>N23</f>
        <v>0</v>
      </c>
      <c r="P23" s="484">
        <f>'Pro 3'!G50/1000</f>
        <v>0</v>
      </c>
      <c r="Q23" s="484">
        <f>'Pro 3'!H50/1000</f>
        <v>0</v>
      </c>
      <c r="R23" s="484">
        <f>'Pro 3'!I50/1000</f>
        <v>0</v>
      </c>
      <c r="S23" s="484">
        <f>'Pro 3'!J50/1000</f>
        <v>0</v>
      </c>
      <c r="T23" s="484">
        <f>'Pro 3'!K50/1000</f>
        <v>0</v>
      </c>
      <c r="U23" s="485"/>
      <c r="V23" s="485"/>
      <c r="W23" s="98"/>
    </row>
    <row r="24" spans="1:23" x14ac:dyDescent="0.25">
      <c r="A24" s="98"/>
      <c r="B24" s="483">
        <f>Public!D175</f>
        <v>0</v>
      </c>
      <c r="C24" s="98">
        <f>B24</f>
        <v>0</v>
      </c>
      <c r="D24" s="484">
        <f>'Pro 3'!G26/1000</f>
        <v>0</v>
      </c>
      <c r="E24" s="484">
        <f>'Pro 3'!H26/1000</f>
        <v>0</v>
      </c>
      <c r="F24" s="484">
        <f>'Pro 3'!I26/1000</f>
        <v>0</v>
      </c>
      <c r="G24" s="484">
        <f>'Pro 3'!J26/1000</f>
        <v>0</v>
      </c>
      <c r="H24" s="484">
        <f>'Pro 3'!K26/1000</f>
        <v>0</v>
      </c>
      <c r="I24" s="485"/>
      <c r="J24" s="485"/>
      <c r="K24" s="98"/>
      <c r="L24" s="98"/>
      <c r="M24" s="98"/>
      <c r="N24" s="483">
        <f>B24</f>
        <v>0</v>
      </c>
      <c r="O24" s="98">
        <f>N24</f>
        <v>0</v>
      </c>
      <c r="P24" s="484">
        <f>'Pro 3'!G51/1000</f>
        <v>0</v>
      </c>
      <c r="Q24" s="484">
        <f>'Pro 3'!H51/1000</f>
        <v>0</v>
      </c>
      <c r="R24" s="484">
        <f>'Pro 3'!I51/1000</f>
        <v>0</v>
      </c>
      <c r="S24" s="484">
        <f>'Pro 3'!J51/1000</f>
        <v>0</v>
      </c>
      <c r="T24" s="484">
        <f>'Pro 3'!K51/1000</f>
        <v>0</v>
      </c>
      <c r="U24" s="485"/>
      <c r="V24" s="485"/>
      <c r="W24" s="98"/>
    </row>
    <row r="25" spans="1:23" x14ac:dyDescent="0.25">
      <c r="A25" s="98"/>
      <c r="B25" s="483">
        <f>Public!D176</f>
        <v>0</v>
      </c>
      <c r="C25" s="98">
        <f>B25</f>
        <v>0</v>
      </c>
      <c r="D25" s="484">
        <f>'Pro 3'!G27/1000</f>
        <v>0</v>
      </c>
      <c r="E25" s="484">
        <f>'Pro 3'!H27/1000</f>
        <v>0</v>
      </c>
      <c r="F25" s="484">
        <f>'Pro 3'!I27/1000</f>
        <v>0</v>
      </c>
      <c r="G25" s="484">
        <f>'Pro 3'!J27/1000</f>
        <v>0</v>
      </c>
      <c r="H25" s="484">
        <f>'Pro 3'!K27/1000</f>
        <v>0</v>
      </c>
      <c r="I25" s="485"/>
      <c r="J25" s="485"/>
      <c r="K25" s="98"/>
      <c r="L25" s="98"/>
      <c r="M25" s="98"/>
      <c r="N25" s="483">
        <f>B25</f>
        <v>0</v>
      </c>
      <c r="O25" s="98">
        <f>N25</f>
        <v>0</v>
      </c>
      <c r="P25" s="484">
        <f>'Pro 3'!G52/1000</f>
        <v>0</v>
      </c>
      <c r="Q25" s="484">
        <f>'Pro 3'!H52/1000</f>
        <v>0</v>
      </c>
      <c r="R25" s="484">
        <f>'Pro 3'!I52/1000</f>
        <v>0</v>
      </c>
      <c r="S25" s="484">
        <f>'Pro 3'!J52/1000</f>
        <v>0</v>
      </c>
      <c r="T25" s="484">
        <f>'Pro 3'!K52/1000</f>
        <v>0</v>
      </c>
      <c r="U25" s="485"/>
      <c r="V25" s="485"/>
      <c r="W25" s="98"/>
    </row>
    <row r="26" spans="1:23" ht="64.5" x14ac:dyDescent="0.25">
      <c r="A26" s="98"/>
      <c r="B26" s="486" t="s">
        <v>982</v>
      </c>
      <c r="C26" s="486" t="s">
        <v>60</v>
      </c>
      <c r="D26" s="487">
        <f>'Pro 3'!G28/1000</f>
        <v>0</v>
      </c>
      <c r="E26" s="487">
        <f>'Pro 3'!H28/1000</f>
        <v>0</v>
      </c>
      <c r="F26" s="487">
        <f>'Pro 3'!I28/1000</f>
        <v>0</v>
      </c>
      <c r="G26" s="487">
        <f>'Pro 3'!J28/1000</f>
        <v>0</v>
      </c>
      <c r="H26" s="487">
        <f>'Pro 3'!K28/1000</f>
        <v>0</v>
      </c>
      <c r="I26" s="485"/>
      <c r="J26" s="485"/>
      <c r="K26" s="98"/>
      <c r="L26" s="98"/>
      <c r="M26" s="98"/>
      <c r="N26" s="486" t="s">
        <v>982</v>
      </c>
      <c r="O26" s="98" t="s">
        <v>60</v>
      </c>
      <c r="P26" s="487">
        <f>'Pro 3'!G53/1000</f>
        <v>0</v>
      </c>
      <c r="Q26" s="487">
        <f>'Pro 3'!H53/1000</f>
        <v>0</v>
      </c>
      <c r="R26" s="487">
        <f>'Pro 3'!I53/1000</f>
        <v>0</v>
      </c>
      <c r="S26" s="487">
        <f>'Pro 3'!J53/1000</f>
        <v>0</v>
      </c>
      <c r="T26" s="487">
        <f>'Pro 3'!K53/1000</f>
        <v>0</v>
      </c>
      <c r="U26" s="485"/>
      <c r="V26" s="485"/>
      <c r="W26" s="98"/>
    </row>
    <row r="27" spans="1:23" x14ac:dyDescent="0.25">
      <c r="A27" s="98"/>
      <c r="B27" s="98" t="s">
        <v>981</v>
      </c>
      <c r="C27" s="98"/>
      <c r="D27" s="488">
        <f>SUM(D23:D26)</f>
        <v>0</v>
      </c>
      <c r="E27" s="488">
        <f t="shared" ref="E27:H27" si="10">SUM(E23:E26)</f>
        <v>0</v>
      </c>
      <c r="F27" s="488">
        <f t="shared" si="10"/>
        <v>0</v>
      </c>
      <c r="G27" s="488">
        <f t="shared" si="10"/>
        <v>0</v>
      </c>
      <c r="H27" s="488">
        <f t="shared" si="10"/>
        <v>0</v>
      </c>
      <c r="I27" s="488"/>
      <c r="J27" s="488"/>
      <c r="K27" s="98"/>
      <c r="L27" s="98"/>
      <c r="M27" s="98"/>
      <c r="N27" s="98" t="s">
        <v>981</v>
      </c>
      <c r="O27" s="98"/>
      <c r="P27" s="488">
        <f>SUM(P23:P26)</f>
        <v>0</v>
      </c>
      <c r="Q27" s="488">
        <f t="shared" ref="Q27:T27" si="11">SUM(Q23:Q26)</f>
        <v>0</v>
      </c>
      <c r="R27" s="488">
        <f t="shared" si="11"/>
        <v>0</v>
      </c>
      <c r="S27" s="488">
        <f t="shared" si="11"/>
        <v>0</v>
      </c>
      <c r="T27" s="488">
        <f t="shared" si="11"/>
        <v>0</v>
      </c>
      <c r="U27" s="488"/>
      <c r="V27" s="488"/>
      <c r="W27" s="98"/>
    </row>
  </sheetData>
  <sheetProtection algorithmName="SHA-512" hashValue="w8mzYXhin0N0+yiIv72kboPjGBFvrSx+EpkutOn64HE0qqZt6WoYBOM5HfUVo8syEOw3MBy4Pg/lwsgnPl+k0A==" saltValue="45gADDVR9PlPmT+y/Qd5ow==" spinCount="100000" sheet="1" objects="1" scenarios="1" selectLockedCells="1"/>
  <mergeCells count="4">
    <mergeCell ref="D8:H8"/>
    <mergeCell ref="P8:T8"/>
    <mergeCell ref="G9:H9"/>
    <mergeCell ref="S9:T9"/>
  </mergeCells>
  <dataValidations count="4">
    <dataValidation type="list" allowBlank="1" showInputMessage="1" showErrorMessage="1" sqref="H5:H8" xr:uid="{1D71DCCE-E9FE-42B9-A50D-7F13EC8B720C}">
      <formula1>$H$1:$H$3</formula1>
    </dataValidation>
    <dataValidation type="list" allowBlank="1" showInputMessage="1" showErrorMessage="1" sqref="C5:C8" xr:uid="{9B994EAA-FD8B-43A4-8DE9-9D79401125A1}">
      <formula1>$C$1:$C$6</formula1>
    </dataValidation>
    <dataValidation type="list" allowBlank="1" showInputMessage="1" showErrorMessage="1" sqref="B5" xr:uid="{015A7A53-7F56-45ED-BC95-F08EB6F028E9}">
      <formula1>$B$1:$B$3</formula1>
    </dataValidation>
    <dataValidation type="list" allowBlank="1" showInputMessage="1" showErrorMessage="1" sqref="D5:D8" xr:uid="{72C798E6-7087-4607-BCB1-A270A4DFC75C}">
      <formula1>$D$1:$D$8</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82040-BEE0-45EB-9CB0-C904D631C1BC}">
  <sheetPr>
    <tabColor rgb="FFFF0000"/>
  </sheetPr>
  <dimension ref="A4:M17"/>
  <sheetViews>
    <sheetView workbookViewId="0">
      <selection activeCell="H13" sqref="H13"/>
    </sheetView>
  </sheetViews>
  <sheetFormatPr defaultRowHeight="15" x14ac:dyDescent="0.25"/>
  <cols>
    <col min="1" max="1" width="3.5703125" customWidth="1"/>
    <col min="2" max="2" width="2.7109375" customWidth="1"/>
    <col min="3" max="3" width="39.7109375" customWidth="1"/>
    <col min="4" max="9" width="14.28515625" customWidth="1"/>
    <col min="10" max="10" width="2.7109375" customWidth="1"/>
    <col min="11" max="13" width="8.7109375" customWidth="1"/>
  </cols>
  <sheetData>
    <row r="4" spans="1:13" ht="15.75" thickBot="1" x14ac:dyDescent="0.3">
      <c r="A4" s="362"/>
      <c r="B4" s="362"/>
      <c r="C4" s="362"/>
      <c r="D4" s="489"/>
      <c r="E4" s="489"/>
      <c r="F4" s="489"/>
      <c r="G4" s="490"/>
      <c r="H4" s="489"/>
      <c r="I4" s="452"/>
      <c r="J4" s="452"/>
      <c r="K4" s="452"/>
      <c r="L4" s="452"/>
      <c r="M4" s="452"/>
    </row>
    <row r="5" spans="1:13" x14ac:dyDescent="0.25">
      <c r="A5" s="367"/>
      <c r="B5" s="358"/>
      <c r="C5" s="360"/>
      <c r="D5" s="491"/>
      <c r="E5" s="491"/>
      <c r="F5" s="491"/>
      <c r="G5" s="491"/>
      <c r="H5" s="491"/>
      <c r="I5" s="491"/>
      <c r="J5" s="361"/>
      <c r="K5" s="456"/>
      <c r="L5" s="456"/>
      <c r="M5" s="456"/>
    </row>
    <row r="6" spans="1:13" ht="77.25" x14ac:dyDescent="0.25">
      <c r="A6" s="42"/>
      <c r="B6" s="388"/>
      <c r="C6" s="371"/>
      <c r="D6" s="492" t="s">
        <v>983</v>
      </c>
      <c r="E6" s="492" t="s">
        <v>984</v>
      </c>
      <c r="F6" s="492" t="s">
        <v>985</v>
      </c>
      <c r="G6" s="492" t="s">
        <v>986</v>
      </c>
      <c r="H6" s="492" t="s">
        <v>987</v>
      </c>
      <c r="I6" s="492" t="s">
        <v>988</v>
      </c>
      <c r="J6" s="366"/>
      <c r="K6" s="357"/>
      <c r="L6" s="357"/>
      <c r="M6" s="357"/>
    </row>
    <row r="7" spans="1:13" x14ac:dyDescent="0.25">
      <c r="A7" s="42"/>
      <c r="B7" s="466"/>
      <c r="C7" s="493"/>
      <c r="D7" s="494"/>
      <c r="E7" s="494"/>
      <c r="F7" s="494"/>
      <c r="G7" s="494"/>
      <c r="H7" s="494"/>
      <c r="I7" s="494"/>
      <c r="J7" s="470"/>
      <c r="K7" s="357"/>
      <c r="L7" s="357"/>
      <c r="M7" s="357"/>
    </row>
    <row r="8" spans="1:13" x14ac:dyDescent="0.25">
      <c r="A8" s="42"/>
      <c r="B8" s="369"/>
      <c r="C8" s="495">
        <f>Intro!E101</f>
        <v>0</v>
      </c>
      <c r="D8" s="496" t="str">
        <f>IF(OR('Pro 4'!B22="YES",'Pro 4'!B22="Oui"),"X","")</f>
        <v/>
      </c>
      <c r="E8" s="496" t="str">
        <f>IF(OR('Pro 4'!B32="YES",'Pro 4'!B32="Oui"),"X","")</f>
        <v/>
      </c>
      <c r="F8" s="496" t="str">
        <f>IF(OR('Pro 4'!B42="YES",'Pro 4'!B42="Oui"),"X","")</f>
        <v/>
      </c>
      <c r="G8" s="496" t="str">
        <f>IF(OR('Pro 4'!B52="YES",'Pro 4'!B52="Oui"),"X","")</f>
        <v/>
      </c>
      <c r="H8" s="496" t="str">
        <f>IF(OR('Pro 4'!B62="YES",'Pro 4'!B62="Oui"),"X","")</f>
        <v/>
      </c>
      <c r="I8" s="496" t="str">
        <f>IF(OR('Pro 4'!B72="YES",'Pro 4'!B72="Oui"),"X","")</f>
        <v/>
      </c>
      <c r="J8" s="366"/>
      <c r="K8" s="357"/>
      <c r="L8" s="357"/>
      <c r="M8" s="357"/>
    </row>
    <row r="9" spans="1:13" x14ac:dyDescent="0.25">
      <c r="B9" s="369"/>
      <c r="C9" s="365"/>
      <c r="D9" s="365"/>
      <c r="E9" s="365"/>
      <c r="F9" s="365"/>
      <c r="G9" s="365"/>
      <c r="H9" s="365"/>
      <c r="I9" s="365"/>
      <c r="J9" s="366"/>
    </row>
    <row r="10" spans="1:13" ht="64.5" x14ac:dyDescent="0.25">
      <c r="B10" s="369"/>
      <c r="C10" s="371"/>
      <c r="D10" s="492" t="s">
        <v>987</v>
      </c>
      <c r="E10" s="492" t="s">
        <v>989</v>
      </c>
      <c r="F10" s="492" t="s">
        <v>990</v>
      </c>
      <c r="G10" s="492" t="s">
        <v>991</v>
      </c>
      <c r="H10" s="492" t="s">
        <v>992</v>
      </c>
      <c r="I10" s="98"/>
      <c r="J10" s="366"/>
    </row>
    <row r="11" spans="1:13" x14ac:dyDescent="0.25">
      <c r="B11" s="369"/>
      <c r="C11" s="493"/>
      <c r="D11" s="494"/>
      <c r="E11" s="494"/>
      <c r="F11" s="494"/>
      <c r="G11" s="494"/>
      <c r="H11" s="494"/>
      <c r="I11" s="494"/>
      <c r="J11" s="366"/>
    </row>
    <row r="12" spans="1:13" x14ac:dyDescent="0.25">
      <c r="B12" s="369"/>
      <c r="C12" s="393">
        <f>C8</f>
        <v>0</v>
      </c>
      <c r="D12" s="496" t="str">
        <f>IF(OR('Pro 4'!B82="YES",'Pro 4'!B82="Oui"),"X","")</f>
        <v/>
      </c>
      <c r="E12" s="496" t="str">
        <f>IF(OR('Pro 4'!B92="YES",'Pro 4'!B92="Oui"),"X","")</f>
        <v/>
      </c>
      <c r="F12" s="496" t="str">
        <f>IF(OR('Pro 4'!B102="YES",'Pro 4'!B102="Oui"),"X","")</f>
        <v/>
      </c>
      <c r="G12" s="496" t="str">
        <f>IF(OR('Pro 4'!B112="YES",'Pro 4'!B112="Oui"),"X","")</f>
        <v/>
      </c>
      <c r="H12" s="496" t="str">
        <f>IF(OR('Pro 4'!B122="YES",'Pro 4'!B122="Oui"),"X","")</f>
        <v/>
      </c>
      <c r="I12" s="497"/>
      <c r="J12" s="366"/>
    </row>
    <row r="13" spans="1:13" x14ac:dyDescent="0.25">
      <c r="B13" s="369"/>
      <c r="C13" s="498"/>
      <c r="D13" s="365"/>
      <c r="E13" s="365"/>
      <c r="F13" s="365"/>
      <c r="G13" s="365"/>
      <c r="H13" s="365"/>
      <c r="I13" s="365"/>
      <c r="J13" s="366"/>
    </row>
    <row r="14" spans="1:13" x14ac:dyDescent="0.25">
      <c r="B14" s="369"/>
      <c r="C14" s="365" t="s">
        <v>947</v>
      </c>
      <c r="D14" s="365"/>
      <c r="E14" s="365"/>
      <c r="F14" s="365"/>
      <c r="G14" s="365"/>
      <c r="H14" s="365"/>
      <c r="I14" s="365"/>
      <c r="J14" s="366"/>
    </row>
    <row r="15" spans="1:13" x14ac:dyDescent="0.25">
      <c r="B15" s="369"/>
      <c r="C15" s="1022" t="str">
        <f>"1. Responses include | Les réponses comprennent : "&amp;N17</f>
        <v xml:space="preserve">1. Responses include | Les réponses comprennent : </v>
      </c>
      <c r="D15" s="1022"/>
      <c r="E15" s="1022"/>
      <c r="F15" s="1022"/>
      <c r="G15" s="1022"/>
      <c r="H15" s="1022"/>
      <c r="I15" s="1022"/>
      <c r="J15" s="366"/>
    </row>
    <row r="16" spans="1:13" x14ac:dyDescent="0.25">
      <c r="B16" s="388"/>
      <c r="C16" s="1023" t="s">
        <v>993</v>
      </c>
      <c r="D16" s="1023"/>
      <c r="E16" s="1023"/>
      <c r="F16" s="1023"/>
      <c r="G16" s="1023"/>
      <c r="H16" s="1023"/>
      <c r="I16" s="1023"/>
      <c r="J16" s="366"/>
    </row>
    <row r="17" spans="2:10" ht="15.75" thickBot="1" x14ac:dyDescent="0.3">
      <c r="B17" s="406"/>
      <c r="C17" s="407"/>
      <c r="D17" s="407"/>
      <c r="E17" s="407"/>
      <c r="F17" s="407"/>
      <c r="G17" s="407"/>
      <c r="H17" s="407"/>
      <c r="I17" s="407"/>
      <c r="J17" s="408"/>
    </row>
  </sheetData>
  <sheetProtection algorithmName="SHA-512" hashValue="MYCX7jxgtfGknw9brZnASCk2EZ8sj6cuaiqHz4B4bjj1/+e0uVLV18t9trulSK0t6GflYXMMBW2WWvo0y1TNWQ==" saltValue="LxxTUNadk4/xKes8Hpd8gA==" spinCount="100000" sheet="1" objects="1" scenarios="1" selectLockedCells="1"/>
  <mergeCells count="2">
    <mergeCell ref="C15:I15"/>
    <mergeCell ref="C16:I16"/>
  </mergeCells>
  <dataValidations count="4">
    <dataValidation type="list" allowBlank="1" showInputMessage="1" showErrorMessage="1" sqref="H5:H7" xr:uid="{31835F89-5514-4304-944D-A189AF883AE3}">
      <formula1>$H$1:$H$3</formula1>
    </dataValidation>
    <dataValidation type="list" allowBlank="1" showInputMessage="1" showErrorMessage="1" sqref="C5:C7" xr:uid="{D4DCD79D-8E33-47FB-8D21-3C7ACC7501E1}">
      <formula1>$C$1:$C$6</formula1>
    </dataValidation>
    <dataValidation type="list" allowBlank="1" showInputMessage="1" showErrorMessage="1" sqref="B5" xr:uid="{CEB6AC9B-869F-43C9-B569-EC7418CBCF54}">
      <formula1>$B$1:$B$3</formula1>
    </dataValidation>
    <dataValidation type="list" allowBlank="1" showInputMessage="1" showErrorMessage="1" sqref="D5:D7" xr:uid="{967F95D2-6AF9-488B-BA3A-6D863B73A9B9}">
      <formula1>$D$1:$D$8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CDF96-1179-4B28-B0AC-5C6454D4E763}">
  <sheetPr>
    <tabColor rgb="FF00B0F0"/>
    <pageSetUpPr fitToPage="1"/>
  </sheetPr>
  <dimension ref="A1:V166"/>
  <sheetViews>
    <sheetView showGridLines="0" tabSelected="1" zoomScaleNormal="100" workbookViewId="0">
      <selection activeCell="G21" sqref="G21:G22"/>
    </sheetView>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23" width="9" style="2" customWidth="1"/>
    <col min="24" max="16384" width="9.140625" style="2"/>
  </cols>
  <sheetData>
    <row r="1" spans="1:22" x14ac:dyDescent="0.25">
      <c r="O1" s="2" t="s">
        <v>720</v>
      </c>
      <c r="P1" s="2" t="s">
        <v>720</v>
      </c>
      <c r="Q1" s="3"/>
      <c r="R1" s="3"/>
      <c r="S1" s="3"/>
      <c r="T1" s="3"/>
      <c r="U1" s="3"/>
      <c r="V1" s="3"/>
    </row>
    <row r="2" spans="1:22" x14ac:dyDescent="0.25">
      <c r="B2" s="20" t="s">
        <v>0</v>
      </c>
      <c r="C2" s="20"/>
      <c r="O2" s="3" t="s">
        <v>166</v>
      </c>
      <c r="P2" s="3" t="s">
        <v>167</v>
      </c>
    </row>
    <row r="3" spans="1:22" x14ac:dyDescent="0.25">
      <c r="B3" s="21"/>
      <c r="C3" s="21"/>
      <c r="O3" s="8"/>
      <c r="P3" s="8"/>
    </row>
    <row r="4" spans="1:22" s="8" customFormat="1" x14ac:dyDescent="0.25">
      <c r="A4" s="13"/>
      <c r="B4" s="649" t="s">
        <v>619</v>
      </c>
      <c r="C4" s="650"/>
      <c r="D4" s="650"/>
      <c r="E4" s="650"/>
      <c r="F4" s="650"/>
      <c r="G4" s="650"/>
      <c r="H4" s="650"/>
      <c r="I4" s="650"/>
      <c r="J4" s="650"/>
      <c r="K4" s="650"/>
      <c r="L4" s="651"/>
      <c r="M4" s="15"/>
      <c r="N4" s="15"/>
      <c r="O4" s="14"/>
      <c r="P4" s="14"/>
    </row>
    <row r="5" spans="1:22" s="8" customFormat="1" x14ac:dyDescent="0.25">
      <c r="A5" s="13"/>
      <c r="B5" s="652" t="str">
        <f>Variables!B2</f>
        <v>NQ-2026-004</v>
      </c>
      <c r="C5" s="653"/>
      <c r="D5" s="653"/>
      <c r="E5" s="653"/>
      <c r="F5" s="653"/>
      <c r="G5" s="653"/>
      <c r="H5" s="653"/>
      <c r="I5" s="653"/>
      <c r="J5" s="653"/>
      <c r="K5" s="653"/>
      <c r="L5" s="654"/>
      <c r="M5" s="15"/>
      <c r="N5" s="15"/>
      <c r="O5" s="14"/>
      <c r="P5" s="14"/>
    </row>
    <row r="6" spans="1:22" s="9" customFormat="1" x14ac:dyDescent="0.25">
      <c r="A6" s="13"/>
      <c r="B6" s="657" t="str">
        <f>UPPER(Variables!B3&amp;" | "&amp;Variables!C3)</f>
        <v>DECORATIVE AND OTHER NON-STRUCTURAL PLYWOOD | CONTREPLAQUÉS DÉCORATIFS ET AUTRES CONTREPLAQUÉS NON STRUCTURAUX</v>
      </c>
      <c r="C6" s="658"/>
      <c r="D6" s="658"/>
      <c r="E6" s="658"/>
      <c r="F6" s="658"/>
      <c r="G6" s="658"/>
      <c r="H6" s="658"/>
      <c r="I6" s="658"/>
      <c r="J6" s="658"/>
      <c r="K6" s="658"/>
      <c r="L6" s="659"/>
      <c r="M6" s="14"/>
      <c r="N6" s="14"/>
      <c r="O6" s="10"/>
      <c r="P6" s="10"/>
    </row>
    <row r="7" spans="1:22" s="9" customFormat="1" x14ac:dyDescent="0.25">
      <c r="A7" s="13"/>
      <c r="B7" s="22"/>
      <c r="C7" s="22"/>
      <c r="D7" s="23"/>
      <c r="E7" s="23"/>
      <c r="F7" s="23"/>
      <c r="G7" s="23"/>
      <c r="H7" s="23"/>
      <c r="I7" s="23"/>
      <c r="J7" s="23"/>
      <c r="K7" s="23"/>
      <c r="L7" s="23"/>
      <c r="O7" s="10"/>
      <c r="P7" s="10"/>
    </row>
    <row r="8" spans="1:22" s="8" customFormat="1" x14ac:dyDescent="0.25">
      <c r="A8" s="13"/>
      <c r="B8" s="618" t="s">
        <v>620</v>
      </c>
      <c r="C8" s="619"/>
      <c r="D8" s="619"/>
      <c r="E8" s="619"/>
      <c r="F8" s="619"/>
      <c r="G8" s="619"/>
      <c r="H8" s="619"/>
      <c r="I8" s="619"/>
      <c r="J8" s="619"/>
      <c r="K8" s="619"/>
      <c r="L8" s="620"/>
      <c r="M8" s="15"/>
      <c r="N8" s="15"/>
      <c r="O8" s="14"/>
      <c r="P8" s="14"/>
    </row>
    <row r="9" spans="1:22" x14ac:dyDescent="0.25">
      <c r="B9" s="24"/>
      <c r="C9" s="25"/>
      <c r="D9" s="26"/>
      <c r="E9" s="26"/>
      <c r="F9" s="26"/>
      <c r="G9" s="26"/>
      <c r="H9" s="26"/>
      <c r="I9" s="26"/>
      <c r="J9" s="26"/>
      <c r="K9" s="26"/>
      <c r="L9" s="27"/>
      <c r="M9" s="2"/>
      <c r="O9" s="589" t="s">
        <v>702</v>
      </c>
      <c r="P9" s="589"/>
    </row>
    <row r="10" spans="1:22" x14ac:dyDescent="0.25">
      <c r="B10" s="612"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decorative and other non-structural plywood (as defined below) originating in or exported from China. Your firm's knowledge and experience would aid the Tribunal in the proper conduct of its inquiry by helping it better understand the Canadian market for decorative and other non-structural plywood. The Tribunal therefore requests a response to this questionnaire from your firm.</v>
      </c>
      <c r="C10" s="613"/>
      <c r="D10" s="613"/>
      <c r="E10" s="613"/>
      <c r="F10" s="613"/>
      <c r="G10" s="151"/>
      <c r="H10" s="655" t="str">
        <f>"Le Tribunal canadien du commerce extérieur (le Tribunal) a ouvert une enquête concernant "&amp;Variables!C4&amp;" de "&amp;Variables!C3&amp;" (tels que définis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contreplaqués décoratifs et autres contreplaqués non structuraux (tels que définis ci-dessous) originaires ou exporté de la Chine. Les connaissances et l'expérience de votre entreprise aideraient le Tribunal à mener correctement son enquête en lui permettant de mieux comprendre le marché canadien de contreplaqués décoratifs et autres contreplaqués non structuraux. Le Tribunal demande donc à votre entreprise de répondre à ce questionnaire.</v>
      </c>
      <c r="I10" s="655"/>
      <c r="J10" s="655"/>
      <c r="K10" s="655"/>
      <c r="L10" s="656"/>
      <c r="M10" s="2"/>
      <c r="O10" s="589"/>
      <c r="P10" s="589"/>
    </row>
    <row r="11" spans="1:22" x14ac:dyDescent="0.25">
      <c r="B11" s="612"/>
      <c r="C11" s="613"/>
      <c r="D11" s="613"/>
      <c r="E11" s="613"/>
      <c r="F11" s="613"/>
      <c r="G11" s="151"/>
      <c r="H11" s="655"/>
      <c r="I11" s="655"/>
      <c r="J11" s="655"/>
      <c r="K11" s="655"/>
      <c r="L11" s="656"/>
      <c r="M11" s="2"/>
      <c r="O11" s="589"/>
      <c r="P11" s="589"/>
    </row>
    <row r="12" spans="1:22" x14ac:dyDescent="0.25">
      <c r="B12" s="612"/>
      <c r="C12" s="613"/>
      <c r="D12" s="613"/>
      <c r="E12" s="613"/>
      <c r="F12" s="613"/>
      <c r="G12" s="151"/>
      <c r="H12" s="655"/>
      <c r="I12" s="655"/>
      <c r="J12" s="655"/>
      <c r="K12" s="655"/>
      <c r="L12" s="656"/>
      <c r="M12" s="2"/>
      <c r="O12" s="589"/>
      <c r="P12" s="589"/>
    </row>
    <row r="13" spans="1:22" x14ac:dyDescent="0.25">
      <c r="B13" s="612"/>
      <c r="C13" s="613"/>
      <c r="D13" s="613"/>
      <c r="E13" s="613"/>
      <c r="F13" s="613"/>
      <c r="G13" s="151"/>
      <c r="H13" s="655"/>
      <c r="I13" s="655"/>
      <c r="J13" s="655"/>
      <c r="K13" s="655"/>
      <c r="L13" s="656"/>
      <c r="M13" s="2"/>
      <c r="O13" s="589"/>
      <c r="P13" s="589"/>
    </row>
    <row r="14" spans="1:22" x14ac:dyDescent="0.25">
      <c r="B14" s="612"/>
      <c r="C14" s="613"/>
      <c r="D14" s="613"/>
      <c r="E14" s="613"/>
      <c r="F14" s="613"/>
      <c r="G14" s="151"/>
      <c r="H14" s="655"/>
      <c r="I14" s="655"/>
      <c r="J14" s="655"/>
      <c r="K14" s="655"/>
      <c r="L14" s="656"/>
      <c r="M14" s="2"/>
      <c r="O14" s="589"/>
      <c r="P14" s="589"/>
    </row>
    <row r="15" spans="1:22" x14ac:dyDescent="0.25">
      <c r="B15" s="612"/>
      <c r="C15" s="613"/>
      <c r="D15" s="613"/>
      <c r="E15" s="613"/>
      <c r="F15" s="613"/>
      <c r="G15" s="151"/>
      <c r="H15" s="655"/>
      <c r="I15" s="655"/>
      <c r="J15" s="655"/>
      <c r="K15" s="655"/>
      <c r="L15" s="656"/>
      <c r="M15" s="2"/>
      <c r="O15" s="589"/>
      <c r="P15" s="589"/>
    </row>
    <row r="16" spans="1:22" x14ac:dyDescent="0.25">
      <c r="B16" s="612"/>
      <c r="C16" s="613"/>
      <c r="D16" s="613"/>
      <c r="E16" s="613"/>
      <c r="F16" s="613"/>
      <c r="G16" s="151"/>
      <c r="H16" s="655"/>
      <c r="I16" s="655"/>
      <c r="J16" s="655"/>
      <c r="K16" s="655"/>
      <c r="L16" s="656"/>
      <c r="M16" s="2"/>
      <c r="O16" s="589"/>
      <c r="P16" s="589"/>
    </row>
    <row r="17" spans="1:16" x14ac:dyDescent="0.25">
      <c r="B17" s="176"/>
      <c r="C17" s="177"/>
      <c r="D17" s="177"/>
      <c r="E17" s="177"/>
      <c r="F17" s="177"/>
      <c r="G17" s="177"/>
      <c r="H17" s="177"/>
      <c r="I17" s="177"/>
      <c r="J17" s="177"/>
      <c r="K17" s="177"/>
      <c r="L17" s="178"/>
      <c r="M17" s="2"/>
      <c r="O17" s="589"/>
      <c r="P17" s="589"/>
    </row>
    <row r="18" spans="1:16" s="9" customFormat="1" x14ac:dyDescent="0.25">
      <c r="A18" s="13"/>
      <c r="B18" s="22"/>
      <c r="C18" s="22"/>
      <c r="D18" s="23"/>
      <c r="E18" s="23"/>
      <c r="F18" s="23"/>
      <c r="G18" s="23"/>
      <c r="H18" s="23"/>
      <c r="I18" s="23"/>
      <c r="J18" s="23"/>
      <c r="K18" s="23"/>
      <c r="L18" s="23"/>
      <c r="O18" s="10"/>
      <c r="P18" s="10"/>
    </row>
    <row r="19" spans="1:16" s="8" customFormat="1" x14ac:dyDescent="0.25">
      <c r="A19" s="13"/>
      <c r="B19" s="618" t="s">
        <v>621</v>
      </c>
      <c r="C19" s="619"/>
      <c r="D19" s="619"/>
      <c r="E19" s="619"/>
      <c r="F19" s="619"/>
      <c r="G19" s="619"/>
      <c r="H19" s="619"/>
      <c r="I19" s="619"/>
      <c r="J19" s="619"/>
      <c r="K19" s="619"/>
      <c r="L19" s="620"/>
      <c r="M19" s="15"/>
      <c r="N19" s="15"/>
      <c r="O19" s="14"/>
      <c r="P19" s="14"/>
    </row>
    <row r="20" spans="1:16" x14ac:dyDescent="0.25">
      <c r="B20" s="24"/>
      <c r="C20" s="25"/>
      <c r="D20" s="26"/>
      <c r="E20" s="26"/>
      <c r="F20" s="26"/>
      <c r="G20" s="26"/>
      <c r="H20" s="26"/>
      <c r="I20" s="26"/>
      <c r="J20" s="26"/>
      <c r="K20" s="26"/>
      <c r="L20" s="27"/>
      <c r="M20" s="2"/>
    </row>
    <row r="21" spans="1:16" x14ac:dyDescent="0.25">
      <c r="B21" s="594" t="s">
        <v>316</v>
      </c>
      <c r="C21" s="595"/>
      <c r="D21" s="595"/>
      <c r="E21" s="595"/>
      <c r="F21" s="595"/>
      <c r="G21" s="598" t="s">
        <v>166</v>
      </c>
      <c r="H21" s="596" t="s">
        <v>402</v>
      </c>
      <c r="I21" s="596"/>
      <c r="J21" s="596"/>
      <c r="K21" s="596"/>
      <c r="L21" s="597"/>
      <c r="M21" s="2"/>
      <c r="O21" s="11"/>
    </row>
    <row r="22" spans="1:16" x14ac:dyDescent="0.25">
      <c r="B22" s="594"/>
      <c r="C22" s="595"/>
      <c r="D22" s="595"/>
      <c r="E22" s="595"/>
      <c r="F22" s="595"/>
      <c r="G22" s="599"/>
      <c r="H22" s="596"/>
      <c r="I22" s="596"/>
      <c r="J22" s="596"/>
      <c r="K22" s="596"/>
      <c r="L22" s="597"/>
      <c r="M22" s="2"/>
      <c r="O22" s="11"/>
    </row>
    <row r="23" spans="1:16" x14ac:dyDescent="0.25">
      <c r="B23" s="176"/>
      <c r="C23" s="177"/>
      <c r="D23" s="177"/>
      <c r="E23" s="177"/>
      <c r="F23" s="177"/>
      <c r="G23" s="177"/>
      <c r="H23" s="177"/>
      <c r="I23" s="177"/>
      <c r="J23" s="177"/>
      <c r="K23" s="177"/>
      <c r="L23" s="178"/>
      <c r="M23" s="2"/>
    </row>
    <row r="24" spans="1:16" s="9" customFormat="1" x14ac:dyDescent="0.25">
      <c r="A24" s="13"/>
      <c r="B24" s="22"/>
      <c r="C24" s="22"/>
      <c r="D24" s="23"/>
      <c r="E24" s="23"/>
      <c r="F24" s="23"/>
      <c r="G24" s="23"/>
      <c r="H24" s="23"/>
      <c r="I24" s="23"/>
      <c r="J24" s="23"/>
      <c r="K24" s="23"/>
      <c r="L24" s="23"/>
      <c r="O24" s="10"/>
      <c r="P24" s="10"/>
    </row>
    <row r="25" spans="1:16" s="8" customFormat="1" x14ac:dyDescent="0.25">
      <c r="A25" s="13"/>
      <c r="B25" s="618" t="str">
        <f>IF(Intro!$G$21="English",O25,P25)</f>
        <v>DEFINITION OF "THE GOODS"</v>
      </c>
      <c r="C25" s="619" t="str">
        <f>UPPER(IF(Intro!$G$21="English",P25,Q25))</f>
        <v>LA DÉFINITION "DES MARCHANDISES"</v>
      </c>
      <c r="D25" s="619" t="str">
        <f>UPPER(IF(Intro!$G$21="English",Q25,R25))</f>
        <v/>
      </c>
      <c r="E25" s="619" t="str">
        <f>UPPER(IF(Intro!$G$21="English",R25,S25))</f>
        <v/>
      </c>
      <c r="F25" s="619"/>
      <c r="G25" s="619" t="str">
        <f>UPPER(IF(Intro!$G$21="English",S25,T25))</f>
        <v/>
      </c>
      <c r="H25" s="619" t="str">
        <f>UPPER(IF(Intro!$G$21="English",T25,U25))</f>
        <v/>
      </c>
      <c r="I25" s="619" t="str">
        <f>UPPER(IF(Intro!$G$21="English",U25,V25))</f>
        <v/>
      </c>
      <c r="J25" s="619" t="str">
        <f>UPPER(IF(Intro!$G$21="English",V25,W25))</f>
        <v/>
      </c>
      <c r="K25" s="619" t="str">
        <f>UPPER(IF(Intro!$G$21="English",W25,X25))</f>
        <v/>
      </c>
      <c r="L25" s="620" t="str">
        <f>UPPER(IF(Intro!$G$21="English",X25,Y25))</f>
        <v/>
      </c>
      <c r="M25" s="9"/>
      <c r="N25" s="15"/>
      <c r="O25" s="14" t="s">
        <v>622</v>
      </c>
      <c r="P25" s="14" t="s">
        <v>623</v>
      </c>
    </row>
    <row r="26" spans="1:16" x14ac:dyDescent="0.25">
      <c r="B26" s="24"/>
      <c r="C26" s="25"/>
      <c r="D26" s="26"/>
      <c r="E26" s="26"/>
      <c r="F26" s="26"/>
      <c r="G26" s="26"/>
      <c r="H26" s="26"/>
      <c r="I26" s="26"/>
      <c r="J26" s="26"/>
      <c r="K26" s="26"/>
      <c r="L26" s="27"/>
      <c r="M26" s="2"/>
    </row>
    <row r="27" spans="1:16" x14ac:dyDescent="0.25">
      <c r="B27" s="612" t="str">
        <f>IF(Intro!$G$21="English",O27,P27)</f>
        <v>References to "the goods" in this questionnaire refer to:</v>
      </c>
      <c r="C27" s="613"/>
      <c r="D27" s="613"/>
      <c r="E27" s="613"/>
      <c r="F27" s="613"/>
      <c r="G27" s="613"/>
      <c r="H27" s="613"/>
      <c r="I27" s="613"/>
      <c r="J27" s="613"/>
      <c r="K27" s="613"/>
      <c r="L27" s="614"/>
      <c r="M27" s="2"/>
      <c r="O27" s="2" t="s">
        <v>340</v>
      </c>
      <c r="P27" s="2" t="s">
        <v>341</v>
      </c>
    </row>
    <row r="28" spans="1:16" x14ac:dyDescent="0.25">
      <c r="B28" s="612"/>
      <c r="C28" s="613"/>
      <c r="D28" s="613"/>
      <c r="E28" s="613"/>
      <c r="F28" s="613"/>
      <c r="G28" s="613"/>
      <c r="H28" s="613"/>
      <c r="I28" s="613"/>
      <c r="J28" s="613"/>
      <c r="K28" s="613"/>
      <c r="L28" s="614"/>
      <c r="M28" s="2"/>
    </row>
    <row r="29" spans="1:16" x14ac:dyDescent="0.25">
      <c r="B29" s="170"/>
      <c r="C29" s="600" t="str">
        <f>IF(Intro!$G$21="English",Variables!B16,Variables!C16)</f>
        <v xml:space="preserve">Decorative and other non-structural plywood, whether or not surface coated or covered, and veneer core platforms for the production of decorative and other non-structural plywood. Decorative and other non-structural plywood is defined as a flat, multilayered plywood or other veneered panel, consisting of two or more layers or plies of wood veneers and a core, with the face and/or back veneer made of wood. The veneers, along with the core are glued or otherwise bonded together. Decorative and other non-structural plywood include products that meet the American National Standard for Hardwood and Decorative Plywood, ANSI/HPVA HP-1-2024 (including any revisions to that standard).
Excluding:
a. Structural plywood that (i) is manufactured to meet CSA O121 (Douglas fir plywood), CSA O151 (Canadian softwood plywood), CSA O153 (Poplar plywood), or U.S. Products Standard PS 1-09, PS 2-09, or PS 2-10 for Structural Plywood (including any revisions to that standard or any substantially equivalent domestic or international standard intended for structural plywood), (ii) which has both a face and a back veneer of coniferous wood, and (iii) which is for use in
structural applications;
b. Finished plywood products for use as flooring;
c. Plywood which has a shape or design other than a flat panel;
d. Phenolic Film Faced Plyform (PFF), also known as Phenolic Surface Film Plywood (PSF), defined as a panel with an “Exterior” or “Exposure 1” bond classification as is defined by The Engineered Wood Association, having an opaque phenolic film layer with a weight equal to or greater than 90g/m3 permanently bonded on both the face and back veneers and an opaque, moisture resistant coating applied to the edges; and
e. Laminated veneer lumber door and window components with (1) a maximum width of 44 millimeters, a thickness from 30 millimeters to 72 millimeters, and a length of less than 2413 millimeters, (2) water boiling point exterior adhesive, (3) a modulus of elasticity of 1,500,000 pounds per square inch or higher, (4) finger-jointed or lap-jointed core veneer with all layers oriented so that the grain is running parallel or with no more than 3 dispersed layers of veneer oriented with the grain running perpendicular to the other layers, and (5) top layer machined. </v>
      </c>
      <c r="D29" s="601"/>
      <c r="E29" s="601"/>
      <c r="F29" s="601"/>
      <c r="G29" s="601"/>
      <c r="H29" s="601"/>
      <c r="I29" s="601"/>
      <c r="J29" s="601"/>
      <c r="K29" s="602"/>
      <c r="L29" s="162"/>
      <c r="M29" s="2"/>
    </row>
    <row r="30" spans="1:16" x14ac:dyDescent="0.25">
      <c r="B30" s="170"/>
      <c r="C30" s="603"/>
      <c r="D30" s="604"/>
      <c r="E30" s="604"/>
      <c r="F30" s="604"/>
      <c r="G30" s="604"/>
      <c r="H30" s="604"/>
      <c r="I30" s="604"/>
      <c r="J30" s="604"/>
      <c r="K30" s="605"/>
      <c r="L30" s="162"/>
      <c r="M30" s="2"/>
    </row>
    <row r="31" spans="1:16" x14ac:dyDescent="0.25">
      <c r="B31" s="170"/>
      <c r="C31" s="603"/>
      <c r="D31" s="604"/>
      <c r="E31" s="604"/>
      <c r="F31" s="604"/>
      <c r="G31" s="604"/>
      <c r="H31" s="604"/>
      <c r="I31" s="604"/>
      <c r="J31" s="604"/>
      <c r="K31" s="605"/>
      <c r="L31" s="162"/>
      <c r="M31" s="2"/>
    </row>
    <row r="32" spans="1:16" x14ac:dyDescent="0.25">
      <c r="B32" s="170"/>
      <c r="C32" s="603"/>
      <c r="D32" s="604"/>
      <c r="E32" s="604"/>
      <c r="F32" s="604"/>
      <c r="G32" s="604"/>
      <c r="H32" s="604"/>
      <c r="I32" s="604"/>
      <c r="J32" s="604"/>
      <c r="K32" s="605"/>
      <c r="L32" s="162"/>
      <c r="M32" s="2"/>
    </row>
    <row r="33" spans="1:12" s="2" customFormat="1" x14ac:dyDescent="0.25">
      <c r="A33" s="12"/>
      <c r="B33" s="170"/>
      <c r="C33" s="603"/>
      <c r="D33" s="604"/>
      <c r="E33" s="604"/>
      <c r="F33" s="604"/>
      <c r="G33" s="604"/>
      <c r="H33" s="604"/>
      <c r="I33" s="604"/>
      <c r="J33" s="604"/>
      <c r="K33" s="605"/>
      <c r="L33" s="162"/>
    </row>
    <row r="34" spans="1:12" s="2" customFormat="1" x14ac:dyDescent="0.25">
      <c r="A34" s="12"/>
      <c r="B34" s="170"/>
      <c r="C34" s="603"/>
      <c r="D34" s="604"/>
      <c r="E34" s="604"/>
      <c r="F34" s="604"/>
      <c r="G34" s="604"/>
      <c r="H34" s="604"/>
      <c r="I34" s="604"/>
      <c r="J34" s="604"/>
      <c r="K34" s="605"/>
      <c r="L34" s="162"/>
    </row>
    <row r="35" spans="1:12" s="2" customFormat="1" x14ac:dyDescent="0.25">
      <c r="A35" s="12"/>
      <c r="B35" s="170"/>
      <c r="C35" s="603"/>
      <c r="D35" s="604"/>
      <c r="E35" s="604"/>
      <c r="F35" s="604"/>
      <c r="G35" s="604"/>
      <c r="H35" s="604"/>
      <c r="I35" s="604"/>
      <c r="J35" s="604"/>
      <c r="K35" s="605"/>
      <c r="L35" s="162"/>
    </row>
    <row r="36" spans="1:12" s="2" customFormat="1" x14ac:dyDescent="0.25">
      <c r="A36" s="12"/>
      <c r="B36" s="170"/>
      <c r="C36" s="603"/>
      <c r="D36" s="604"/>
      <c r="E36" s="604"/>
      <c r="F36" s="604"/>
      <c r="G36" s="604"/>
      <c r="H36" s="604"/>
      <c r="I36" s="604"/>
      <c r="J36" s="604"/>
      <c r="K36" s="605"/>
      <c r="L36" s="162"/>
    </row>
    <row r="37" spans="1:12" s="2" customFormat="1" x14ac:dyDescent="0.25">
      <c r="A37" s="12"/>
      <c r="B37" s="170"/>
      <c r="C37" s="603"/>
      <c r="D37" s="604"/>
      <c r="E37" s="604"/>
      <c r="F37" s="604"/>
      <c r="G37" s="604"/>
      <c r="H37" s="604"/>
      <c r="I37" s="604"/>
      <c r="J37" s="604"/>
      <c r="K37" s="605"/>
      <c r="L37" s="162"/>
    </row>
    <row r="38" spans="1:12" s="2" customFormat="1" x14ac:dyDescent="0.25">
      <c r="A38" s="12"/>
      <c r="B38" s="170"/>
      <c r="C38" s="603"/>
      <c r="D38" s="604"/>
      <c r="E38" s="604"/>
      <c r="F38" s="604"/>
      <c r="G38" s="604"/>
      <c r="H38" s="604"/>
      <c r="I38" s="604"/>
      <c r="J38" s="604"/>
      <c r="K38" s="605"/>
      <c r="L38" s="162"/>
    </row>
    <row r="39" spans="1:12" s="2" customFormat="1" x14ac:dyDescent="0.25">
      <c r="A39" s="12"/>
      <c r="B39" s="170"/>
      <c r="C39" s="603"/>
      <c r="D39" s="604"/>
      <c r="E39" s="604"/>
      <c r="F39" s="604"/>
      <c r="G39" s="604"/>
      <c r="H39" s="604"/>
      <c r="I39" s="604"/>
      <c r="J39" s="604"/>
      <c r="K39" s="605"/>
      <c r="L39" s="162"/>
    </row>
    <row r="40" spans="1:12" s="2" customFormat="1" x14ac:dyDescent="0.25">
      <c r="A40" s="12"/>
      <c r="B40" s="170"/>
      <c r="C40" s="603"/>
      <c r="D40" s="604"/>
      <c r="E40" s="604"/>
      <c r="F40" s="604"/>
      <c r="G40" s="604"/>
      <c r="H40" s="604"/>
      <c r="I40" s="604"/>
      <c r="J40" s="604"/>
      <c r="K40" s="605"/>
      <c r="L40" s="162"/>
    </row>
    <row r="41" spans="1:12" s="2" customFormat="1" x14ac:dyDescent="0.25">
      <c r="A41" s="12"/>
      <c r="B41" s="170"/>
      <c r="C41" s="603"/>
      <c r="D41" s="604"/>
      <c r="E41" s="604"/>
      <c r="F41" s="604"/>
      <c r="G41" s="604"/>
      <c r="H41" s="604"/>
      <c r="I41" s="604"/>
      <c r="J41" s="604"/>
      <c r="K41" s="605"/>
      <c r="L41" s="162"/>
    </row>
    <row r="42" spans="1:12" s="2" customFormat="1" x14ac:dyDescent="0.25">
      <c r="A42" s="12"/>
      <c r="B42" s="170"/>
      <c r="C42" s="603"/>
      <c r="D42" s="604"/>
      <c r="E42" s="604"/>
      <c r="F42" s="604"/>
      <c r="G42" s="604"/>
      <c r="H42" s="604"/>
      <c r="I42" s="604"/>
      <c r="J42" s="604"/>
      <c r="K42" s="605"/>
      <c r="L42" s="162"/>
    </row>
    <row r="43" spans="1:12" s="2" customFormat="1" x14ac:dyDescent="0.25">
      <c r="A43" s="12"/>
      <c r="B43" s="170"/>
      <c r="C43" s="603"/>
      <c r="D43" s="604"/>
      <c r="E43" s="604"/>
      <c r="F43" s="604"/>
      <c r="G43" s="604"/>
      <c r="H43" s="604"/>
      <c r="I43" s="604"/>
      <c r="J43" s="604"/>
      <c r="K43" s="605"/>
      <c r="L43" s="162"/>
    </row>
    <row r="44" spans="1:12" s="2" customFormat="1" x14ac:dyDescent="0.25">
      <c r="A44" s="12"/>
      <c r="B44" s="170"/>
      <c r="C44" s="603"/>
      <c r="D44" s="604"/>
      <c r="E44" s="604"/>
      <c r="F44" s="604"/>
      <c r="G44" s="604"/>
      <c r="H44" s="604"/>
      <c r="I44" s="604"/>
      <c r="J44" s="604"/>
      <c r="K44" s="605"/>
      <c r="L44" s="162"/>
    </row>
    <row r="45" spans="1:12" s="2" customFormat="1" x14ac:dyDescent="0.25">
      <c r="A45" s="12"/>
      <c r="B45" s="170"/>
      <c r="C45" s="603"/>
      <c r="D45" s="604"/>
      <c r="E45" s="604"/>
      <c r="F45" s="604"/>
      <c r="G45" s="604"/>
      <c r="H45" s="604"/>
      <c r="I45" s="604"/>
      <c r="J45" s="604"/>
      <c r="K45" s="605"/>
      <c r="L45" s="162"/>
    </row>
    <row r="46" spans="1:12" s="2" customFormat="1" x14ac:dyDescent="0.25">
      <c r="A46" s="12"/>
      <c r="B46" s="170"/>
      <c r="C46" s="603"/>
      <c r="D46" s="604"/>
      <c r="E46" s="604"/>
      <c r="F46" s="604"/>
      <c r="G46" s="604"/>
      <c r="H46" s="604"/>
      <c r="I46" s="604"/>
      <c r="J46" s="604"/>
      <c r="K46" s="605"/>
      <c r="L46" s="162"/>
    </row>
    <row r="47" spans="1:12" s="2" customFormat="1" x14ac:dyDescent="0.25">
      <c r="A47" s="12"/>
      <c r="B47" s="170"/>
      <c r="C47" s="603"/>
      <c r="D47" s="604"/>
      <c r="E47" s="604"/>
      <c r="F47" s="604"/>
      <c r="G47" s="604"/>
      <c r="H47" s="604"/>
      <c r="I47" s="604"/>
      <c r="J47" s="604"/>
      <c r="K47" s="605"/>
      <c r="L47" s="162"/>
    </row>
    <row r="48" spans="1:12" s="2" customFormat="1" x14ac:dyDescent="0.25">
      <c r="A48" s="12"/>
      <c r="B48" s="170"/>
      <c r="C48" s="603"/>
      <c r="D48" s="604"/>
      <c r="E48" s="604"/>
      <c r="F48" s="604"/>
      <c r="G48" s="604"/>
      <c r="H48" s="604"/>
      <c r="I48" s="604"/>
      <c r="J48" s="604"/>
      <c r="K48" s="605"/>
      <c r="L48" s="162"/>
    </row>
    <row r="49" spans="1:16" x14ac:dyDescent="0.25">
      <c r="B49" s="170"/>
      <c r="C49" s="603"/>
      <c r="D49" s="604"/>
      <c r="E49" s="604"/>
      <c r="F49" s="604"/>
      <c r="G49" s="604"/>
      <c r="H49" s="604"/>
      <c r="I49" s="604"/>
      <c r="J49" s="604"/>
      <c r="K49" s="605"/>
      <c r="L49" s="162"/>
      <c r="M49" s="2"/>
    </row>
    <row r="50" spans="1:16" x14ac:dyDescent="0.25">
      <c r="B50" s="170"/>
      <c r="C50" s="603"/>
      <c r="D50" s="604"/>
      <c r="E50" s="604"/>
      <c r="F50" s="604"/>
      <c r="G50" s="604"/>
      <c r="H50" s="604"/>
      <c r="I50" s="604"/>
      <c r="J50" s="604"/>
      <c r="K50" s="605"/>
      <c r="L50" s="162"/>
      <c r="M50" s="2"/>
    </row>
    <row r="51" spans="1:16" x14ac:dyDescent="0.25">
      <c r="B51" s="170"/>
      <c r="C51" s="603"/>
      <c r="D51" s="604"/>
      <c r="E51" s="604"/>
      <c r="F51" s="604"/>
      <c r="G51" s="604"/>
      <c r="H51" s="604"/>
      <c r="I51" s="604"/>
      <c r="J51" s="604"/>
      <c r="K51" s="605"/>
      <c r="L51" s="162"/>
      <c r="M51" s="2"/>
    </row>
    <row r="52" spans="1:16" x14ac:dyDescent="0.25">
      <c r="B52" s="170"/>
      <c r="C52" s="603"/>
      <c r="D52" s="604"/>
      <c r="E52" s="604"/>
      <c r="F52" s="604"/>
      <c r="G52" s="604"/>
      <c r="H52" s="604"/>
      <c r="I52" s="604"/>
      <c r="J52" s="604"/>
      <c r="K52" s="605"/>
      <c r="L52" s="162"/>
      <c r="M52" s="2"/>
    </row>
    <row r="53" spans="1:16" x14ac:dyDescent="0.25">
      <c r="B53" s="170"/>
      <c r="C53" s="603"/>
      <c r="D53" s="604"/>
      <c r="E53" s="604"/>
      <c r="F53" s="604"/>
      <c r="G53" s="604"/>
      <c r="H53" s="604"/>
      <c r="I53" s="604"/>
      <c r="J53" s="604"/>
      <c r="K53" s="605"/>
      <c r="L53" s="162"/>
      <c r="M53" s="2"/>
    </row>
    <row r="54" spans="1:16" x14ac:dyDescent="0.25">
      <c r="B54" s="170"/>
      <c r="C54" s="603"/>
      <c r="D54" s="604"/>
      <c r="E54" s="604"/>
      <c r="F54" s="604"/>
      <c r="G54" s="604"/>
      <c r="H54" s="604"/>
      <c r="I54" s="604"/>
      <c r="J54" s="604"/>
      <c r="K54" s="605"/>
      <c r="L54" s="162"/>
      <c r="M54" s="2"/>
    </row>
    <row r="55" spans="1:16" x14ac:dyDescent="0.25">
      <c r="B55" s="170"/>
      <c r="C55" s="603"/>
      <c r="D55" s="604"/>
      <c r="E55" s="604"/>
      <c r="F55" s="604"/>
      <c r="G55" s="604"/>
      <c r="H55" s="604"/>
      <c r="I55" s="604"/>
      <c r="J55" s="604"/>
      <c r="K55" s="605"/>
      <c r="L55" s="162"/>
      <c r="M55" s="2"/>
    </row>
    <row r="56" spans="1:16" x14ac:dyDescent="0.25">
      <c r="B56" s="170"/>
      <c r="C56" s="606"/>
      <c r="D56" s="607"/>
      <c r="E56" s="607"/>
      <c r="F56" s="607"/>
      <c r="G56" s="607"/>
      <c r="H56" s="607"/>
      <c r="I56" s="607"/>
      <c r="J56" s="607"/>
      <c r="K56" s="608"/>
      <c r="L56" s="162"/>
      <c r="M56" s="2"/>
    </row>
    <row r="57" spans="1:16" x14ac:dyDescent="0.25">
      <c r="B57" s="612"/>
      <c r="C57" s="613"/>
      <c r="D57" s="613"/>
      <c r="E57" s="613"/>
      <c r="F57" s="613"/>
      <c r="G57" s="613"/>
      <c r="H57" s="613"/>
      <c r="I57" s="613"/>
      <c r="J57" s="613"/>
      <c r="K57" s="613"/>
      <c r="L57" s="614"/>
      <c r="M57" s="2"/>
    </row>
    <row r="58" spans="1:16" x14ac:dyDescent="0.25">
      <c r="B58" s="612" t="str">
        <f>IF(Intro!$G$21="English",O58,P58)</f>
        <v>For additional details, view the "Info" tab.</v>
      </c>
      <c r="C58" s="613"/>
      <c r="D58" s="613"/>
      <c r="E58" s="613"/>
      <c r="F58" s="613"/>
      <c r="G58" s="613"/>
      <c r="H58" s="613"/>
      <c r="I58" s="613"/>
      <c r="J58" s="613"/>
      <c r="K58" s="613"/>
      <c r="L58" s="614"/>
      <c r="M58" s="2"/>
      <c r="O58" s="2" t="s">
        <v>390</v>
      </c>
      <c r="P58" s="2" t="s">
        <v>397</v>
      </c>
    </row>
    <row r="59" spans="1:16" x14ac:dyDescent="0.25">
      <c r="B59" s="176"/>
      <c r="C59" s="177"/>
      <c r="D59" s="177"/>
      <c r="E59" s="177"/>
      <c r="F59" s="177"/>
      <c r="G59" s="177"/>
      <c r="H59" s="177"/>
      <c r="I59" s="177"/>
      <c r="J59" s="177"/>
      <c r="K59" s="177"/>
      <c r="L59" s="178"/>
      <c r="M59" s="2"/>
    </row>
    <row r="60" spans="1:16" s="9" customFormat="1" x14ac:dyDescent="0.25">
      <c r="A60" s="13"/>
      <c r="B60" s="22"/>
      <c r="C60" s="22"/>
      <c r="D60" s="23"/>
      <c r="E60" s="23"/>
      <c r="F60" s="23"/>
      <c r="G60" s="23"/>
      <c r="H60" s="23"/>
      <c r="I60" s="23"/>
      <c r="J60" s="23"/>
      <c r="K60" s="23"/>
      <c r="L60" s="23"/>
      <c r="O60" s="10"/>
      <c r="P60" s="10"/>
    </row>
    <row r="61" spans="1:16" s="8" customFormat="1" x14ac:dyDescent="0.25">
      <c r="A61" s="13"/>
      <c r="B61" s="618" t="str">
        <f>IF(Intro!$G$21="English",O61,P61)</f>
        <v>DO YOU NEED TO COMPLETE THIS QUESTIONNAIRE?</v>
      </c>
      <c r="C61" s="619"/>
      <c r="D61" s="619"/>
      <c r="E61" s="619"/>
      <c r="F61" s="619"/>
      <c r="G61" s="619"/>
      <c r="H61" s="619"/>
      <c r="I61" s="619"/>
      <c r="J61" s="619"/>
      <c r="K61" s="619"/>
      <c r="L61" s="620"/>
      <c r="M61" s="15"/>
      <c r="N61" s="15"/>
      <c r="O61" s="1" t="s">
        <v>624</v>
      </c>
      <c r="P61" s="1" t="s">
        <v>686</v>
      </c>
    </row>
    <row r="62" spans="1:16" x14ac:dyDescent="0.25">
      <c r="B62" s="24"/>
      <c r="C62" s="25"/>
      <c r="D62" s="26"/>
      <c r="E62" s="26"/>
      <c r="F62" s="26"/>
      <c r="G62" s="26"/>
      <c r="H62" s="26"/>
      <c r="I62" s="26"/>
      <c r="J62" s="26"/>
      <c r="K62" s="26"/>
      <c r="L62" s="27"/>
      <c r="M62" s="2"/>
    </row>
    <row r="63" spans="1:16" x14ac:dyDescent="0.25">
      <c r="B63" s="612" t="str">
        <f>IF(Intro!$G$21="English",O63,P63)</f>
        <v>Specify your firm’s activities with respect to the goods defined above from January 1, 2023 to March, 31, 2026:</v>
      </c>
      <c r="C63" s="613"/>
      <c r="D63" s="613"/>
      <c r="E63" s="613"/>
      <c r="F63" s="613"/>
      <c r="G63" s="613"/>
      <c r="H63" s="613"/>
      <c r="I63" s="613"/>
      <c r="J63" s="613"/>
      <c r="K63" s="613"/>
      <c r="L63" s="614"/>
      <c r="M63" s="2"/>
      <c r="O63" s="2" t="str">
        <f>"Specify your firm’s activities with respect to the goods defined above from January 1, "&amp;Variables!B6&amp;" to "&amp;TEXT(Variables!B7,"MMMM, DD, YYYY")&amp;":"</f>
        <v>Specify your firm’s activities with respect to the goods defined above from January 1, 2023 to March, 31, 2026:</v>
      </c>
      <c r="P63" s="2" t="str">
        <f>"Précisez les activités de votre entreprise relatives aux marchandises définies ci-dessus, du 1er janvier "&amp;Variables!C6&amp;" au "&amp;Variables!C7&amp;" :"</f>
        <v>Précisez les activités de votre entreprise relatives aux marchandises définies ci-dessus, du 1er janvier 2023 au 31 mars 2026 :</v>
      </c>
    </row>
    <row r="64" spans="1:16" x14ac:dyDescent="0.25">
      <c r="B64" s="170"/>
      <c r="C64" s="171"/>
      <c r="D64" s="171"/>
      <c r="E64" s="171"/>
      <c r="F64" s="171"/>
      <c r="G64" s="171"/>
      <c r="H64" s="171"/>
      <c r="I64" s="171"/>
      <c r="J64" s="171"/>
      <c r="K64" s="171"/>
      <c r="L64" s="172"/>
      <c r="M64" s="2"/>
    </row>
    <row r="65" spans="2:16" x14ac:dyDescent="0.25">
      <c r="B65" s="170"/>
      <c r="C65" s="171"/>
      <c r="D65" s="615" t="str">
        <f>IF(Intro!$G$21="English",O65,P65)</f>
        <v>Select Yes or No</v>
      </c>
      <c r="E65" s="615"/>
      <c r="F65" s="616" t="s">
        <v>625</v>
      </c>
      <c r="G65" s="616"/>
      <c r="H65" s="616"/>
      <c r="I65" s="616"/>
      <c r="J65" s="616"/>
      <c r="K65" s="616"/>
      <c r="L65" s="617"/>
      <c r="M65" s="2"/>
      <c r="O65" s="2" t="s">
        <v>362</v>
      </c>
      <c r="P65" s="2" t="s">
        <v>671</v>
      </c>
    </row>
    <row r="66" spans="2:16" x14ac:dyDescent="0.25">
      <c r="B66" s="590" t="str">
        <f>IF(Intro!$G$21="English",O66,P66)</f>
        <v>Produced the goods</v>
      </c>
      <c r="C66" s="591"/>
      <c r="D66" s="609"/>
      <c r="E66" s="609"/>
      <c r="F66" s="610" t="str">
        <f>IF(D66="Yes",O67,IF(D66="Oui",P67,IF(D66="No",O68,IF(D66="Non",P68,""))))</f>
        <v/>
      </c>
      <c r="G66" s="610"/>
      <c r="H66" s="610"/>
      <c r="I66" s="610"/>
      <c r="J66" s="610"/>
      <c r="K66" s="610"/>
      <c r="L66" s="611"/>
      <c r="M66" s="2"/>
      <c r="O66" s="11" t="s">
        <v>576</v>
      </c>
      <c r="P66" s="2" t="s">
        <v>577</v>
      </c>
    </row>
    <row r="67" spans="2:16" x14ac:dyDescent="0.25">
      <c r="B67" s="590"/>
      <c r="C67" s="591"/>
      <c r="D67" s="609"/>
      <c r="E67" s="609"/>
      <c r="F67" s="610"/>
      <c r="G67" s="610"/>
      <c r="H67" s="610"/>
      <c r="I67" s="610"/>
      <c r="J67" s="610"/>
      <c r="K67" s="610"/>
      <c r="L67" s="611"/>
      <c r="M67" s="2"/>
      <c r="O67" s="2" t="str">
        <f>"Complete all tabs in this questionnaire and submit it by "&amp;Variables!B11&amp;"."</f>
        <v>Complete all tabs in this questionnaire and submit it by September 15, 2026.</v>
      </c>
      <c r="P67" s="2" t="str">
        <f>"Remplissez tous les onglets de ce questionnaire et soumettez-le avant le "&amp;Variables!C11&amp;"."</f>
        <v>Remplissez tous les onglets de ce questionnaire et soumettez-le avant le 15 septembre 2026.</v>
      </c>
    </row>
    <row r="68" spans="2:16" x14ac:dyDescent="0.25">
      <c r="B68" s="590" t="str">
        <f>IF(Intro!$G$21="English",O69,P69)</f>
        <v>Imported the goods from any country as the importer of record</v>
      </c>
      <c r="C68" s="591"/>
      <c r="D68" s="609"/>
      <c r="E68" s="609"/>
      <c r="F68" s="610" t="str">
        <f>IF(D68="Yes",O70,IF(D68="Oui",P70,IF(D68="No",O71,IF(D68="Non",P71,""))))</f>
        <v/>
      </c>
      <c r="G68" s="610"/>
      <c r="H68" s="610"/>
      <c r="I68" s="610"/>
      <c r="J68" s="610"/>
      <c r="K68" s="610"/>
      <c r="L68" s="611"/>
      <c r="M68" s="2"/>
      <c r="O68" s="2" t="str">
        <f>"Explain below. Complete this tab only and submit it by "&amp;Variables!B11&amp;"."</f>
        <v>Explain below. Complete this tab only and submit it by September 15, 2026.</v>
      </c>
      <c r="P68" s="2" t="str">
        <f>"Expliquez ci-dessous. Remplissez uniquement cet onglet et soumettez-le avant le "&amp;Variables!C11&amp;"."</f>
        <v>Expliquez ci-dessous. Remplissez uniquement cet onglet et soumettez-le avant le 15 septembre 2026.</v>
      </c>
    </row>
    <row r="69" spans="2:16" x14ac:dyDescent="0.25">
      <c r="B69" s="590"/>
      <c r="C69" s="591"/>
      <c r="D69" s="609"/>
      <c r="E69" s="609"/>
      <c r="F69" s="610"/>
      <c r="G69" s="610"/>
      <c r="H69" s="610"/>
      <c r="I69" s="610"/>
      <c r="J69" s="610"/>
      <c r="K69" s="610"/>
      <c r="L69" s="611"/>
      <c r="M69" s="2"/>
      <c r="O69" s="11" t="s">
        <v>578</v>
      </c>
      <c r="P69" s="2" t="s">
        <v>695</v>
      </c>
    </row>
    <row r="70" spans="2:16" x14ac:dyDescent="0.25">
      <c r="B70" s="590"/>
      <c r="C70" s="591"/>
      <c r="D70" s="609"/>
      <c r="E70" s="609"/>
      <c r="F70" s="610"/>
      <c r="G70" s="610"/>
      <c r="H70" s="610"/>
      <c r="I70" s="610"/>
      <c r="J70" s="610"/>
      <c r="K70" s="610"/>
      <c r="L70" s="611"/>
      <c r="M70" s="2"/>
      <c r="O70" s="2" t="str">
        <f>"Complete an Importers' Questionnaire, which can be found on the Tribunal website, and submit it by "&amp;Variables!B11&amp;". If completing both an Importers’ and Producers’ questionnaire, it is not necessary to respond twice to questions that are repeated in both questionnaires."</f>
        <v>Complete an Importers' Questionnaire, which can be found on the Tribunal website, and submit it by September 15, 2026. If completing both an Importers’ and Producers’ questionnaire, it is not necessary to respond twice to questions that are repeated in both questionnaires.</v>
      </c>
      <c r="P70" s="2" t="str">
        <f>"Remplissez un questionnaire à l’intention des importateurs, disponible sur le site web du Tribunal, et soumettez-le avant le "&amp;Variables!C11&amp;". Si vous remplissez à la fois un questionnaire à l'intention des importateurs et un autre à l'intention des producteurs, il n’est pas nécessaire de répondre deux fois aux questions qui se répètent dans les deux questionnaires."</f>
        <v>Remplissez un questionnaire à l’intention des importateurs, disponible sur le site web du Tribunal, et soumettez-le avant le 15 septembre 2026. Si vous remplissez à la fois un questionnaire à l'intention des importateurs et un autre à l'intention des producteurs, il n’est pas nécessaire de répondre deux fois aux questions qui se répètent dans les deux questionnaires.</v>
      </c>
    </row>
    <row r="71" spans="2:16" x14ac:dyDescent="0.25">
      <c r="B71" s="590"/>
      <c r="C71" s="591"/>
      <c r="D71" s="609"/>
      <c r="E71" s="609"/>
      <c r="F71" s="610"/>
      <c r="G71" s="610"/>
      <c r="H71" s="610"/>
      <c r="I71" s="610"/>
      <c r="J71" s="610"/>
      <c r="K71" s="610"/>
      <c r="L71" s="611"/>
      <c r="M71" s="2"/>
      <c r="O71" s="2" t="s">
        <v>626</v>
      </c>
      <c r="P71" s="2" t="s">
        <v>626</v>
      </c>
    </row>
    <row r="72" spans="2:16" x14ac:dyDescent="0.25">
      <c r="B72" s="24"/>
      <c r="C72" s="25"/>
      <c r="D72" s="26"/>
      <c r="E72" s="26"/>
      <c r="F72" s="26"/>
      <c r="G72" s="26"/>
      <c r="H72" s="26"/>
      <c r="I72" s="26"/>
      <c r="J72" s="26"/>
      <c r="K72" s="26"/>
      <c r="L72" s="27"/>
      <c r="M72" s="2"/>
    </row>
    <row r="73" spans="2:16" x14ac:dyDescent="0.25">
      <c r="B73" s="634" t="str">
        <f>IF(Intro!$G$21="English",O74,P74)</f>
        <v>If your firm did not produce the goods, please explain.</v>
      </c>
      <c r="C73" s="635"/>
      <c r="D73" s="635"/>
      <c r="E73" s="635"/>
      <c r="F73" s="635"/>
      <c r="G73" s="635"/>
      <c r="H73" s="635"/>
      <c r="I73" s="635"/>
      <c r="J73" s="635"/>
      <c r="K73" s="635"/>
      <c r="L73" s="636"/>
      <c r="M73" s="2"/>
    </row>
    <row r="74" spans="2:16" x14ac:dyDescent="0.25">
      <c r="B74" s="24"/>
      <c r="C74" s="25"/>
      <c r="D74" s="26"/>
      <c r="E74" s="26"/>
      <c r="F74" s="26"/>
      <c r="G74" s="26"/>
      <c r="H74" s="26"/>
      <c r="I74" s="26"/>
      <c r="J74" s="26"/>
      <c r="K74" s="26"/>
      <c r="L74" s="27"/>
      <c r="M74" s="2"/>
      <c r="O74" s="11" t="s">
        <v>820</v>
      </c>
      <c r="P74" s="2" t="s">
        <v>821</v>
      </c>
    </row>
    <row r="75" spans="2:16" x14ac:dyDescent="0.25">
      <c r="B75" s="643"/>
      <c r="C75" s="644"/>
      <c r="D75" s="644"/>
      <c r="E75" s="644"/>
      <c r="F75" s="644"/>
      <c r="G75" s="644"/>
      <c r="H75" s="644"/>
      <c r="I75" s="644"/>
      <c r="J75" s="644"/>
      <c r="K75" s="644"/>
      <c r="L75" s="645"/>
      <c r="M75" s="2"/>
    </row>
    <row r="76" spans="2:16" x14ac:dyDescent="0.25">
      <c r="B76" s="643"/>
      <c r="C76" s="644"/>
      <c r="D76" s="644"/>
      <c r="E76" s="644"/>
      <c r="F76" s="644"/>
      <c r="G76" s="644"/>
      <c r="H76" s="644"/>
      <c r="I76" s="644"/>
      <c r="J76" s="644"/>
      <c r="K76" s="644"/>
      <c r="L76" s="645"/>
      <c r="M76" s="2"/>
    </row>
    <row r="77" spans="2:16" x14ac:dyDescent="0.25">
      <c r="B77" s="643"/>
      <c r="C77" s="644"/>
      <c r="D77" s="644"/>
      <c r="E77" s="644"/>
      <c r="F77" s="644"/>
      <c r="G77" s="644"/>
      <c r="H77" s="644"/>
      <c r="I77" s="644"/>
      <c r="J77" s="644"/>
      <c r="K77" s="644"/>
      <c r="L77" s="645"/>
      <c r="M77" s="2"/>
    </row>
    <row r="78" spans="2:16" x14ac:dyDescent="0.25">
      <c r="B78" s="643"/>
      <c r="C78" s="644"/>
      <c r="D78" s="644"/>
      <c r="E78" s="644"/>
      <c r="F78" s="644"/>
      <c r="G78" s="644"/>
      <c r="H78" s="644"/>
      <c r="I78" s="644"/>
      <c r="J78" s="644"/>
      <c r="K78" s="644"/>
      <c r="L78" s="645"/>
      <c r="M78" s="2"/>
    </row>
    <row r="79" spans="2:16" x14ac:dyDescent="0.25">
      <c r="B79" s="643"/>
      <c r="C79" s="644"/>
      <c r="D79" s="644"/>
      <c r="E79" s="644"/>
      <c r="F79" s="644"/>
      <c r="G79" s="644"/>
      <c r="H79" s="644"/>
      <c r="I79" s="644"/>
      <c r="J79" s="644"/>
      <c r="K79" s="644"/>
      <c r="L79" s="645"/>
      <c r="M79" s="2"/>
    </row>
    <row r="80" spans="2:16" x14ac:dyDescent="0.25">
      <c r="B80" s="643"/>
      <c r="C80" s="644"/>
      <c r="D80" s="644"/>
      <c r="E80" s="644"/>
      <c r="F80" s="644"/>
      <c r="G80" s="644"/>
      <c r="H80" s="644"/>
      <c r="I80" s="644"/>
      <c r="J80" s="644"/>
      <c r="K80" s="644"/>
      <c r="L80" s="645"/>
      <c r="M80" s="2"/>
    </row>
    <row r="81" spans="1:16" x14ac:dyDescent="0.25">
      <c r="B81" s="643"/>
      <c r="C81" s="644"/>
      <c r="D81" s="644"/>
      <c r="E81" s="644"/>
      <c r="F81" s="644"/>
      <c r="G81" s="644"/>
      <c r="H81" s="644"/>
      <c r="I81" s="644"/>
      <c r="J81" s="644"/>
      <c r="K81" s="644"/>
      <c r="L81" s="645"/>
      <c r="M81" s="2"/>
    </row>
    <row r="82" spans="1:16" x14ac:dyDescent="0.25">
      <c r="B82" s="643"/>
      <c r="C82" s="644"/>
      <c r="D82" s="644"/>
      <c r="E82" s="644"/>
      <c r="F82" s="644"/>
      <c r="G82" s="644"/>
      <c r="H82" s="644"/>
      <c r="I82" s="644"/>
      <c r="J82" s="644"/>
      <c r="K82" s="644"/>
      <c r="L82" s="645"/>
      <c r="M82" s="2"/>
    </row>
    <row r="83" spans="1:16" x14ac:dyDescent="0.25">
      <c r="B83" s="643"/>
      <c r="C83" s="644"/>
      <c r="D83" s="644"/>
      <c r="E83" s="644"/>
      <c r="F83" s="644"/>
      <c r="G83" s="644"/>
      <c r="H83" s="644"/>
      <c r="I83" s="644"/>
      <c r="J83" s="644"/>
      <c r="K83" s="644"/>
      <c r="L83" s="645"/>
      <c r="M83" s="2"/>
    </row>
    <row r="84" spans="1:16" x14ac:dyDescent="0.25">
      <c r="B84" s="643"/>
      <c r="C84" s="644"/>
      <c r="D84" s="644"/>
      <c r="E84" s="644"/>
      <c r="F84" s="644"/>
      <c r="G84" s="644"/>
      <c r="H84" s="644"/>
      <c r="I84" s="644"/>
      <c r="J84" s="644"/>
      <c r="K84" s="644"/>
      <c r="L84" s="645"/>
      <c r="M84" s="2"/>
    </row>
    <row r="85" spans="1:16" x14ac:dyDescent="0.25">
      <c r="B85" s="176"/>
      <c r="C85" s="177"/>
      <c r="D85" s="177"/>
      <c r="E85" s="177"/>
      <c r="F85" s="177"/>
      <c r="G85" s="177"/>
      <c r="H85" s="177"/>
      <c r="I85" s="177"/>
      <c r="J85" s="177"/>
      <c r="K85" s="177"/>
      <c r="L85" s="178"/>
      <c r="M85" s="2"/>
    </row>
    <row r="86" spans="1:16" s="9" customFormat="1" x14ac:dyDescent="0.25">
      <c r="A86" s="13"/>
      <c r="B86" s="22"/>
      <c r="C86" s="22"/>
      <c r="D86" s="23"/>
      <c r="E86" s="23"/>
      <c r="F86" s="23"/>
      <c r="G86" s="23"/>
      <c r="H86" s="23"/>
      <c r="I86" s="23"/>
      <c r="J86" s="23"/>
      <c r="K86" s="23"/>
      <c r="L86" s="23"/>
      <c r="O86" s="10"/>
      <c r="P86" s="10"/>
    </row>
    <row r="87" spans="1:16" s="8" customFormat="1" x14ac:dyDescent="0.25">
      <c r="A87" s="13"/>
      <c r="B87" s="618" t="str">
        <f>IF(Intro!$G$21="English",O87,P87)</f>
        <v>QUESTIONNAIRE DUE DATE</v>
      </c>
      <c r="C87" s="619" t="str">
        <f>UPPER(IF(Intro!$G$21="English",P87,Q87))</f>
        <v>DATE D’ÉCHÉANCE DU QUESTIONNAIRE</v>
      </c>
      <c r="D87" s="619" t="str">
        <f>UPPER(IF(Intro!$G$21="English",Q87,R87))</f>
        <v/>
      </c>
      <c r="E87" s="619" t="str">
        <f>UPPER(IF(Intro!$G$21="English",R87,S87))</f>
        <v/>
      </c>
      <c r="F87" s="619"/>
      <c r="G87" s="619" t="str">
        <f>UPPER(IF(Intro!$G$21="English",S87,T87))</f>
        <v/>
      </c>
      <c r="H87" s="619" t="str">
        <f>UPPER(IF(Intro!$G$21="English",T87,U87))</f>
        <v/>
      </c>
      <c r="I87" s="619" t="str">
        <f>UPPER(IF(Intro!$G$21="English",U87,V87))</f>
        <v/>
      </c>
      <c r="J87" s="619" t="str">
        <f>UPPER(IF(Intro!$G$21="English",V87,W87))</f>
        <v/>
      </c>
      <c r="K87" s="619" t="str">
        <f>UPPER(IF(Intro!$G$21="English",W87,X87))</f>
        <v/>
      </c>
      <c r="L87" s="620" t="str">
        <f>UPPER(IF(Intro!$G$21="English",X87,Y87))</f>
        <v/>
      </c>
      <c r="M87" s="9"/>
      <c r="N87" s="15"/>
      <c r="O87" s="14" t="s">
        <v>1</v>
      </c>
      <c r="P87" s="14" t="s">
        <v>398</v>
      </c>
    </row>
    <row r="88" spans="1:16" x14ac:dyDescent="0.25">
      <c r="B88" s="24"/>
      <c r="C88" s="25"/>
      <c r="D88" s="26"/>
      <c r="E88" s="26"/>
      <c r="F88" s="26"/>
      <c r="G88" s="26"/>
      <c r="H88" s="26"/>
      <c r="I88" s="26"/>
      <c r="J88" s="26"/>
      <c r="K88" s="26"/>
      <c r="L88" s="27"/>
      <c r="M88" s="2"/>
    </row>
    <row r="89" spans="1:16" x14ac:dyDescent="0.25">
      <c r="B89" s="170"/>
      <c r="C89" s="2"/>
      <c r="D89" s="637" t="str">
        <f>IF(Intro!$G$21="English",Variables!B11,Variables!C11)</f>
        <v>September 15, 2026</v>
      </c>
      <c r="E89" s="638"/>
      <c r="F89" s="638"/>
      <c r="G89" s="638"/>
      <c r="H89" s="638"/>
      <c r="I89" s="638"/>
      <c r="J89" s="639"/>
      <c r="K89" s="26"/>
      <c r="L89" s="179"/>
      <c r="M89" s="2"/>
      <c r="O89" s="153"/>
      <c r="P89" s="153"/>
    </row>
    <row r="90" spans="1:16" x14ac:dyDescent="0.25">
      <c r="B90" s="170"/>
      <c r="C90" s="2"/>
      <c r="D90" s="640"/>
      <c r="E90" s="641"/>
      <c r="F90" s="641"/>
      <c r="G90" s="641"/>
      <c r="H90" s="641"/>
      <c r="I90" s="641"/>
      <c r="J90" s="642"/>
      <c r="K90" s="26"/>
      <c r="L90" s="179"/>
      <c r="M90" s="2"/>
      <c r="O90" s="153"/>
      <c r="P90" s="153"/>
    </row>
    <row r="91" spans="1:16" x14ac:dyDescent="0.25">
      <c r="B91" s="176"/>
      <c r="C91" s="177"/>
      <c r="D91" s="177"/>
      <c r="E91" s="177"/>
      <c r="F91" s="177"/>
      <c r="G91" s="177"/>
      <c r="H91" s="177"/>
      <c r="I91" s="177"/>
      <c r="J91" s="177"/>
      <c r="K91" s="177"/>
      <c r="L91" s="178"/>
      <c r="M91" s="2"/>
    </row>
    <row r="92" spans="1:16" s="9" customFormat="1" x14ac:dyDescent="0.25">
      <c r="A92" s="13"/>
      <c r="B92" s="22"/>
      <c r="C92" s="22"/>
      <c r="D92" s="23"/>
      <c r="E92" s="23"/>
      <c r="F92" s="23"/>
      <c r="G92" s="23"/>
      <c r="H92" s="23"/>
      <c r="I92" s="23"/>
      <c r="J92" s="23"/>
      <c r="K92" s="23"/>
      <c r="L92" s="23"/>
      <c r="O92" s="10"/>
      <c r="P92" s="10"/>
    </row>
    <row r="93" spans="1:16" s="8" customFormat="1" x14ac:dyDescent="0.25">
      <c r="A93" s="13"/>
      <c r="B93" s="618" t="str">
        <f>IF(Intro!$G$21="English",O93,P93)</f>
        <v>FAILURE TO COMPLETE QUESTIONNAIRE</v>
      </c>
      <c r="C93" s="619" t="str">
        <f>UPPER(IF(Intro!$G$21="English",P93,Q93))</f>
        <v>QUESTIONNAIRE NON REMPLI</v>
      </c>
      <c r="D93" s="619" t="str">
        <f>UPPER(IF(Intro!$G$21="English",Q93,R93))</f>
        <v/>
      </c>
      <c r="E93" s="619" t="str">
        <f>UPPER(IF(Intro!$G$21="English",R93,S93))</f>
        <v/>
      </c>
      <c r="F93" s="619"/>
      <c r="G93" s="619" t="str">
        <f>UPPER(IF(Intro!$G$21="English",S93,T93))</f>
        <v/>
      </c>
      <c r="H93" s="619" t="str">
        <f>UPPER(IF(Intro!$G$21="English",T93,U93))</f>
        <v/>
      </c>
      <c r="I93" s="619" t="str">
        <f>UPPER(IF(Intro!$G$21="English",U93,V93))</f>
        <v/>
      </c>
      <c r="J93" s="619" t="str">
        <f>UPPER(IF(Intro!$G$21="English",V93,W93))</f>
        <v/>
      </c>
      <c r="K93" s="619" t="str">
        <f>UPPER(IF(Intro!$G$21="English",W93,X93))</f>
        <v/>
      </c>
      <c r="L93" s="620" t="str">
        <f>UPPER(IF(Intro!$G$21="English",X93,Y93))</f>
        <v/>
      </c>
      <c r="M93" s="9"/>
      <c r="N93" s="15"/>
      <c r="O93" s="14" t="s">
        <v>627</v>
      </c>
      <c r="P93" s="14" t="s">
        <v>628</v>
      </c>
    </row>
    <row r="94" spans="1:16" x14ac:dyDescent="0.25">
      <c r="B94" s="24"/>
      <c r="C94" s="25"/>
      <c r="D94" s="26"/>
      <c r="E94" s="26"/>
      <c r="F94" s="26"/>
      <c r="G94" s="26"/>
      <c r="H94" s="26"/>
      <c r="I94" s="26"/>
      <c r="J94" s="26"/>
      <c r="K94" s="26"/>
      <c r="L94" s="27"/>
      <c r="M94" s="2"/>
    </row>
    <row r="95" spans="1:16" x14ac:dyDescent="0.25">
      <c r="B95" s="612" t="str">
        <f>IF(Intro!$G$21="English",O95,P95)</f>
        <v>Failure to complete the questionnaire by the due date may result in the Tribunal issuing a production order, pursuant to section 17 of the Canadian International Trade Tribunal Act, to compel the production of a questionnaire response.</v>
      </c>
      <c r="C95" s="613"/>
      <c r="D95" s="613"/>
      <c r="E95" s="613"/>
      <c r="F95" s="613"/>
      <c r="G95" s="613"/>
      <c r="H95" s="613"/>
      <c r="I95" s="613"/>
      <c r="J95" s="613"/>
      <c r="K95" s="613"/>
      <c r="L95" s="614"/>
      <c r="M95" s="2"/>
      <c r="O95" s="2" t="s">
        <v>318</v>
      </c>
      <c r="P95" s="2" t="s">
        <v>401</v>
      </c>
    </row>
    <row r="96" spans="1:16" x14ac:dyDescent="0.25">
      <c r="B96" s="612"/>
      <c r="C96" s="613"/>
      <c r="D96" s="613"/>
      <c r="E96" s="613"/>
      <c r="F96" s="613"/>
      <c r="G96" s="613"/>
      <c r="H96" s="613"/>
      <c r="I96" s="613"/>
      <c r="J96" s="613"/>
      <c r="K96" s="613"/>
      <c r="L96" s="614"/>
      <c r="M96" s="2"/>
    </row>
    <row r="97" spans="1:16" x14ac:dyDescent="0.25">
      <c r="B97" s="176"/>
      <c r="C97" s="177"/>
      <c r="D97" s="177"/>
      <c r="E97" s="177"/>
      <c r="F97" s="177"/>
      <c r="G97" s="177"/>
      <c r="H97" s="177"/>
      <c r="I97" s="177"/>
      <c r="J97" s="177"/>
      <c r="K97" s="177"/>
      <c r="L97" s="178"/>
      <c r="M97" s="2"/>
    </row>
    <row r="98" spans="1:16" s="9" customFormat="1" x14ac:dyDescent="0.25">
      <c r="A98" s="13"/>
      <c r="B98" s="22"/>
      <c r="C98" s="22"/>
      <c r="D98" s="23"/>
      <c r="E98" s="23"/>
      <c r="F98" s="23"/>
      <c r="G98" s="23"/>
      <c r="H98" s="23"/>
      <c r="I98" s="23"/>
      <c r="J98" s="23"/>
      <c r="K98" s="23"/>
      <c r="L98" s="23"/>
      <c r="O98" s="10"/>
      <c r="P98" s="10"/>
    </row>
    <row r="99" spans="1:16" x14ac:dyDescent="0.25">
      <c r="B99" s="618" t="str">
        <f>IF(Intro!$G$21="English",O99,P99)</f>
        <v>FIRM INFORMATION</v>
      </c>
      <c r="C99" s="619"/>
      <c r="D99" s="619"/>
      <c r="E99" s="619"/>
      <c r="F99" s="619"/>
      <c r="G99" s="619"/>
      <c r="H99" s="619"/>
      <c r="I99" s="619"/>
      <c r="J99" s="619"/>
      <c r="K99" s="619"/>
      <c r="L99" s="620"/>
      <c r="M99" s="2"/>
      <c r="O99" s="2" t="s">
        <v>5</v>
      </c>
      <c r="P99" s="2" t="s">
        <v>6</v>
      </c>
    </row>
    <row r="100" spans="1:16" x14ac:dyDescent="0.25">
      <c r="B100" s="24"/>
      <c r="C100" s="25"/>
      <c r="D100" s="26"/>
      <c r="E100" s="26"/>
      <c r="F100" s="26"/>
      <c r="G100" s="26"/>
      <c r="H100" s="26"/>
      <c r="I100" s="26"/>
      <c r="J100" s="26"/>
      <c r="K100" s="26"/>
      <c r="L100" s="27"/>
      <c r="M100" s="2"/>
    </row>
    <row r="101" spans="1:16" x14ac:dyDescent="0.25">
      <c r="B101" s="590" t="str">
        <f>IF(Intro!$G$21="English",O101,P101)</f>
        <v>Firm Name (In English and French, if applicable)</v>
      </c>
      <c r="C101" s="591"/>
      <c r="D101" s="591"/>
      <c r="E101" s="592"/>
      <c r="F101" s="592"/>
      <c r="G101" s="592"/>
      <c r="H101" s="592"/>
      <c r="I101" s="592"/>
      <c r="J101" s="592"/>
      <c r="K101" s="592"/>
      <c r="L101" s="593"/>
      <c r="M101" s="2"/>
      <c r="O101" s="11" t="s">
        <v>393</v>
      </c>
      <c r="P101" s="2" t="s">
        <v>394</v>
      </c>
    </row>
    <row r="102" spans="1:16" x14ac:dyDescent="0.25">
      <c r="B102" s="590"/>
      <c r="C102" s="591"/>
      <c r="D102" s="591"/>
      <c r="E102" s="592"/>
      <c r="F102" s="592"/>
      <c r="G102" s="592"/>
      <c r="H102" s="592"/>
      <c r="I102" s="592"/>
      <c r="J102" s="592"/>
      <c r="K102" s="592"/>
      <c r="L102" s="593"/>
      <c r="M102" s="2"/>
      <c r="O102" s="11"/>
    </row>
    <row r="103" spans="1:16" x14ac:dyDescent="0.25">
      <c r="B103" s="590" t="str">
        <f>IF(Intro!$G$21="English",O103,P103)</f>
        <v>Firm Address</v>
      </c>
      <c r="C103" s="591"/>
      <c r="D103" s="591"/>
      <c r="E103" s="592"/>
      <c r="F103" s="592"/>
      <c r="G103" s="592"/>
      <c r="H103" s="592"/>
      <c r="I103" s="592"/>
      <c r="J103" s="592"/>
      <c r="K103" s="592"/>
      <c r="L103" s="593"/>
      <c r="M103" s="2"/>
      <c r="O103" s="11" t="s">
        <v>7</v>
      </c>
      <c r="P103" s="2" t="s">
        <v>399</v>
      </c>
    </row>
    <row r="104" spans="1:16" x14ac:dyDescent="0.25">
      <c r="B104" s="590"/>
      <c r="C104" s="591"/>
      <c r="D104" s="591"/>
      <c r="E104" s="592"/>
      <c r="F104" s="592"/>
      <c r="G104" s="592"/>
      <c r="H104" s="592"/>
      <c r="I104" s="592"/>
      <c r="J104" s="592"/>
      <c r="K104" s="592"/>
      <c r="L104" s="593"/>
      <c r="M104" s="2"/>
      <c r="O104" s="11"/>
    </row>
    <row r="105" spans="1:16" x14ac:dyDescent="0.25">
      <c r="B105" s="590" t="str">
        <f>IF(Intro!$G$21="English",O105,P105)</f>
        <v>Website Address</v>
      </c>
      <c r="C105" s="591"/>
      <c r="D105" s="591"/>
      <c r="E105" s="592"/>
      <c r="F105" s="592"/>
      <c r="G105" s="592"/>
      <c r="H105" s="592"/>
      <c r="I105" s="592"/>
      <c r="J105" s="592"/>
      <c r="K105" s="592"/>
      <c r="L105" s="593"/>
      <c r="M105" s="2"/>
      <c r="O105" s="11" t="s">
        <v>9</v>
      </c>
      <c r="P105" s="2" t="s">
        <v>10</v>
      </c>
    </row>
    <row r="106" spans="1:16" x14ac:dyDescent="0.25">
      <c r="B106" s="590"/>
      <c r="C106" s="591"/>
      <c r="D106" s="591"/>
      <c r="E106" s="592"/>
      <c r="F106" s="592"/>
      <c r="G106" s="592"/>
      <c r="H106" s="592"/>
      <c r="I106" s="592"/>
      <c r="J106" s="592"/>
      <c r="K106" s="592"/>
      <c r="L106" s="593"/>
      <c r="M106" s="2"/>
      <c r="O106" s="11"/>
    </row>
    <row r="107" spans="1:16" x14ac:dyDescent="0.25">
      <c r="B107" s="147"/>
      <c r="C107" s="148"/>
      <c r="D107" s="149"/>
      <c r="E107" s="149"/>
      <c r="F107" s="149"/>
      <c r="G107" s="149"/>
      <c r="H107" s="149"/>
      <c r="I107" s="149"/>
      <c r="J107" s="149"/>
      <c r="K107" s="149"/>
      <c r="L107" s="150"/>
      <c r="M107" s="2"/>
    </row>
    <row r="108" spans="1:16" x14ac:dyDescent="0.25">
      <c r="B108" s="204" t="str">
        <f>IF(Intro!$G$21="English",O108,P108)</f>
        <v xml:space="preserve">If your firm has more than one location, facility or outlet, submit a consolidated response to the questionnaire.
</v>
      </c>
      <c r="C108" s="151"/>
      <c r="D108" s="151"/>
      <c r="E108" s="151"/>
      <c r="F108" s="151"/>
      <c r="G108" s="151"/>
      <c r="H108" s="151"/>
      <c r="I108" s="151"/>
      <c r="J108" s="151"/>
      <c r="K108" s="151"/>
      <c r="L108" s="162"/>
      <c r="M108" s="2"/>
      <c r="O108" s="2" t="s">
        <v>363</v>
      </c>
      <c r="P108" s="2" t="s">
        <v>395</v>
      </c>
    </row>
    <row r="109" spans="1:16" x14ac:dyDescent="0.25">
      <c r="B109" s="622" t="str">
        <f>IF(Intro!$G$21="English",O109,P109)</f>
        <v>Provide the names and addresses of other locations, facilities, and outlets in Canada on behalf of which your company is responding.</v>
      </c>
      <c r="C109" s="623"/>
      <c r="D109" s="623"/>
      <c r="E109" s="628"/>
      <c r="F109" s="628"/>
      <c r="G109" s="628"/>
      <c r="H109" s="628"/>
      <c r="I109" s="628"/>
      <c r="J109" s="628"/>
      <c r="K109" s="628"/>
      <c r="L109" s="629"/>
      <c r="M109" s="2"/>
      <c r="O109" s="11" t="s">
        <v>11</v>
      </c>
      <c r="P109" s="2" t="s">
        <v>396</v>
      </c>
    </row>
    <row r="110" spans="1:16" x14ac:dyDescent="0.25">
      <c r="B110" s="624"/>
      <c r="C110" s="625"/>
      <c r="D110" s="625"/>
      <c r="E110" s="630"/>
      <c r="F110" s="630"/>
      <c r="G110" s="630"/>
      <c r="H110" s="630"/>
      <c r="I110" s="630"/>
      <c r="J110" s="630"/>
      <c r="K110" s="630"/>
      <c r="L110" s="631"/>
      <c r="M110" s="2"/>
      <c r="O110" s="11"/>
    </row>
    <row r="111" spans="1:16" x14ac:dyDescent="0.25">
      <c r="B111" s="624"/>
      <c r="C111" s="625"/>
      <c r="D111" s="625"/>
      <c r="E111" s="630"/>
      <c r="F111" s="630"/>
      <c r="G111" s="630"/>
      <c r="H111" s="630"/>
      <c r="I111" s="630"/>
      <c r="J111" s="630"/>
      <c r="K111" s="630"/>
      <c r="L111" s="631"/>
      <c r="M111" s="2"/>
      <c r="O111" s="11"/>
    </row>
    <row r="112" spans="1:16" x14ac:dyDescent="0.25">
      <c r="B112" s="624"/>
      <c r="C112" s="625"/>
      <c r="D112" s="625"/>
      <c r="E112" s="630"/>
      <c r="F112" s="630"/>
      <c r="G112" s="630"/>
      <c r="H112" s="630"/>
      <c r="I112" s="630"/>
      <c r="J112" s="630"/>
      <c r="K112" s="630"/>
      <c r="L112" s="631"/>
      <c r="M112" s="2"/>
      <c r="O112" s="11"/>
    </row>
    <row r="113" spans="2:16" x14ac:dyDescent="0.25">
      <c r="B113" s="624"/>
      <c r="C113" s="625"/>
      <c r="D113" s="625"/>
      <c r="E113" s="630"/>
      <c r="F113" s="630"/>
      <c r="G113" s="630"/>
      <c r="H113" s="630"/>
      <c r="I113" s="630"/>
      <c r="J113" s="630"/>
      <c r="K113" s="630"/>
      <c r="L113" s="631"/>
      <c r="M113" s="2"/>
      <c r="O113" s="11"/>
    </row>
    <row r="114" spans="2:16" x14ac:dyDescent="0.25">
      <c r="B114" s="624"/>
      <c r="C114" s="625"/>
      <c r="D114" s="625"/>
      <c r="E114" s="630"/>
      <c r="F114" s="630"/>
      <c r="G114" s="630"/>
      <c r="H114" s="630"/>
      <c r="I114" s="630"/>
      <c r="J114" s="630"/>
      <c r="K114" s="630"/>
      <c r="L114" s="631"/>
      <c r="M114" s="2"/>
      <c r="O114" s="11"/>
    </row>
    <row r="115" spans="2:16" x14ac:dyDescent="0.25">
      <c r="B115" s="624"/>
      <c r="C115" s="625"/>
      <c r="D115" s="625"/>
      <c r="E115" s="630"/>
      <c r="F115" s="630"/>
      <c r="G115" s="630"/>
      <c r="H115" s="630"/>
      <c r="I115" s="630"/>
      <c r="J115" s="630"/>
      <c r="K115" s="630"/>
      <c r="L115" s="631"/>
      <c r="M115" s="2"/>
      <c r="O115" s="11"/>
    </row>
    <row r="116" spans="2:16" x14ac:dyDescent="0.25">
      <c r="B116" s="624"/>
      <c r="C116" s="625"/>
      <c r="D116" s="625"/>
      <c r="E116" s="630"/>
      <c r="F116" s="630"/>
      <c r="G116" s="630"/>
      <c r="H116" s="630"/>
      <c r="I116" s="630"/>
      <c r="J116" s="630"/>
      <c r="K116" s="630"/>
      <c r="L116" s="631"/>
      <c r="M116" s="2"/>
      <c r="O116" s="11"/>
    </row>
    <row r="117" spans="2:16" x14ac:dyDescent="0.25">
      <c r="B117" s="624"/>
      <c r="C117" s="625"/>
      <c r="D117" s="625"/>
      <c r="E117" s="630"/>
      <c r="F117" s="630"/>
      <c r="G117" s="630"/>
      <c r="H117" s="630"/>
      <c r="I117" s="630"/>
      <c r="J117" s="630"/>
      <c r="K117" s="630"/>
      <c r="L117" s="631"/>
      <c r="M117" s="2"/>
      <c r="O117" s="11"/>
    </row>
    <row r="118" spans="2:16" x14ac:dyDescent="0.25">
      <c r="B118" s="626"/>
      <c r="C118" s="627"/>
      <c r="D118" s="627"/>
      <c r="E118" s="632"/>
      <c r="F118" s="632"/>
      <c r="G118" s="632"/>
      <c r="H118" s="632"/>
      <c r="I118" s="632"/>
      <c r="J118" s="632"/>
      <c r="K118" s="632"/>
      <c r="L118" s="633"/>
      <c r="M118" s="2"/>
      <c r="O118" s="11"/>
    </row>
    <row r="119" spans="2:16" x14ac:dyDescent="0.25">
      <c r="B119" s="176"/>
      <c r="C119" s="177"/>
      <c r="D119" s="177"/>
      <c r="E119" s="177"/>
      <c r="F119" s="177"/>
      <c r="G119" s="177"/>
      <c r="H119" s="177"/>
      <c r="I119" s="177"/>
      <c r="J119" s="177"/>
      <c r="K119" s="177"/>
      <c r="L119" s="178"/>
      <c r="M119" s="2"/>
    </row>
    <row r="121" spans="2:16" x14ac:dyDescent="0.25">
      <c r="B121" s="586" t="str">
        <f>IF(Intro!$G$21="English",O121,P121)</f>
        <v>CONTACT INFORMATION OF THE PERSON WHO COMPLETED THIS QUESTIONNAIRE</v>
      </c>
      <c r="C121" s="587"/>
      <c r="D121" s="587"/>
      <c r="E121" s="587"/>
      <c r="F121" s="587"/>
      <c r="G121" s="587"/>
      <c r="H121" s="587"/>
      <c r="I121" s="587"/>
      <c r="J121" s="587"/>
      <c r="K121" s="587"/>
      <c r="L121" s="588"/>
      <c r="M121" s="2"/>
      <c r="O121" s="2" t="s">
        <v>814</v>
      </c>
      <c r="P121" s="2" t="s">
        <v>815</v>
      </c>
    </row>
    <row r="122" spans="2:16" x14ac:dyDescent="0.25">
      <c r="B122" s="24"/>
      <c r="C122" s="25"/>
      <c r="D122" s="26"/>
      <c r="E122" s="26"/>
      <c r="F122" s="26"/>
      <c r="G122" s="26"/>
      <c r="H122" s="26"/>
      <c r="I122" s="26"/>
      <c r="J122" s="26"/>
      <c r="K122" s="26"/>
      <c r="L122" s="27"/>
      <c r="M122" s="2"/>
    </row>
    <row r="123" spans="2:16" x14ac:dyDescent="0.25">
      <c r="B123" s="574" t="str">
        <f>IF(Intro!$G$21="English",O123,P123)</f>
        <v>Name</v>
      </c>
      <c r="C123" s="575"/>
      <c r="D123" s="576"/>
      <c r="E123" s="580"/>
      <c r="F123" s="581"/>
      <c r="G123" s="581"/>
      <c r="H123" s="581"/>
      <c r="I123" s="581"/>
      <c r="J123" s="581"/>
      <c r="K123" s="581"/>
      <c r="L123" s="582"/>
      <c r="M123" s="2"/>
      <c r="O123" s="11" t="s">
        <v>816</v>
      </c>
      <c r="P123" s="2" t="s">
        <v>817</v>
      </c>
    </row>
    <row r="124" spans="2:16" x14ac:dyDescent="0.25">
      <c r="B124" s="577"/>
      <c r="C124" s="578"/>
      <c r="D124" s="579"/>
      <c r="E124" s="583"/>
      <c r="F124" s="584"/>
      <c r="G124" s="584"/>
      <c r="H124" s="584"/>
      <c r="I124" s="584"/>
      <c r="J124" s="584"/>
      <c r="K124" s="584"/>
      <c r="L124" s="585"/>
      <c r="M124" s="2"/>
      <c r="O124" s="11"/>
    </row>
    <row r="125" spans="2:16" x14ac:dyDescent="0.25">
      <c r="B125" s="574" t="str">
        <f>IF(Intro!$G$21="English",O125,P125)</f>
        <v>Title</v>
      </c>
      <c r="C125" s="575"/>
      <c r="D125" s="576"/>
      <c r="E125" s="580"/>
      <c r="F125" s="581"/>
      <c r="G125" s="581"/>
      <c r="H125" s="581"/>
      <c r="I125" s="581"/>
      <c r="J125" s="581"/>
      <c r="K125" s="581"/>
      <c r="L125" s="582"/>
      <c r="M125" s="2"/>
      <c r="O125" s="11" t="s">
        <v>818</v>
      </c>
      <c r="P125" s="2" t="s">
        <v>819</v>
      </c>
    </row>
    <row r="126" spans="2:16" x14ac:dyDescent="0.25">
      <c r="B126" s="577"/>
      <c r="C126" s="578"/>
      <c r="D126" s="579"/>
      <c r="E126" s="583"/>
      <c r="F126" s="584"/>
      <c r="G126" s="584"/>
      <c r="H126" s="584"/>
      <c r="I126" s="584"/>
      <c r="J126" s="584"/>
      <c r="K126" s="584"/>
      <c r="L126" s="585"/>
      <c r="M126" s="2"/>
      <c r="O126" s="11"/>
    </row>
    <row r="127" spans="2:16" x14ac:dyDescent="0.25">
      <c r="B127" s="574" t="str">
        <f>IF(Intro!$G$21="English",O127,P127)</f>
        <v>E-mail Address</v>
      </c>
      <c r="C127" s="575"/>
      <c r="D127" s="576"/>
      <c r="E127" s="580"/>
      <c r="F127" s="581"/>
      <c r="G127" s="581"/>
      <c r="H127" s="581"/>
      <c r="I127" s="581"/>
      <c r="J127" s="581"/>
      <c r="K127" s="581"/>
      <c r="L127" s="582"/>
      <c r="M127" s="2"/>
      <c r="O127" s="11" t="s">
        <v>134</v>
      </c>
      <c r="P127" s="2" t="s">
        <v>432</v>
      </c>
    </row>
    <row r="128" spans="2:16" x14ac:dyDescent="0.25">
      <c r="B128" s="577"/>
      <c r="C128" s="578"/>
      <c r="D128" s="579"/>
      <c r="E128" s="583"/>
      <c r="F128" s="584"/>
      <c r="G128" s="584"/>
      <c r="H128" s="584"/>
      <c r="I128" s="584"/>
      <c r="J128" s="584"/>
      <c r="K128" s="584"/>
      <c r="L128" s="585"/>
      <c r="M128" s="2"/>
      <c r="O128" s="11"/>
    </row>
    <row r="129" spans="2:16" x14ac:dyDescent="0.25">
      <c r="B129" s="574" t="str">
        <f>IF(Intro!$G$21="English",O129,P129)</f>
        <v>Telephone</v>
      </c>
      <c r="C129" s="575"/>
      <c r="D129" s="576"/>
      <c r="E129" s="580"/>
      <c r="F129" s="581"/>
      <c r="G129" s="581"/>
      <c r="H129" s="581"/>
      <c r="I129" s="581"/>
      <c r="J129" s="581"/>
      <c r="K129" s="581"/>
      <c r="L129" s="582"/>
      <c r="M129" s="2"/>
      <c r="O129" s="11" t="s">
        <v>16</v>
      </c>
      <c r="P129" s="2" t="s">
        <v>17</v>
      </c>
    </row>
    <row r="130" spans="2:16" x14ac:dyDescent="0.25">
      <c r="B130" s="577"/>
      <c r="C130" s="578"/>
      <c r="D130" s="579"/>
      <c r="E130" s="583"/>
      <c r="F130" s="584"/>
      <c r="G130" s="584"/>
      <c r="H130" s="584"/>
      <c r="I130" s="584"/>
      <c r="J130" s="584"/>
      <c r="K130" s="584"/>
      <c r="L130" s="585"/>
      <c r="M130" s="2"/>
      <c r="O130" s="11"/>
    </row>
    <row r="131" spans="2:16" x14ac:dyDescent="0.25">
      <c r="B131" s="176"/>
      <c r="C131" s="177"/>
      <c r="D131" s="177"/>
      <c r="E131" s="177"/>
      <c r="F131" s="177"/>
      <c r="G131" s="177"/>
      <c r="H131" s="177"/>
      <c r="I131" s="177"/>
      <c r="J131" s="177"/>
      <c r="K131" s="177"/>
      <c r="L131" s="178"/>
      <c r="M131" s="2"/>
    </row>
    <row r="132" spans="2:16" x14ac:dyDescent="0.25">
      <c r="B132" s="618" t="str">
        <f>IF(Intro!$G$21="English",O132,P132)</f>
        <v>CERTIFICATION</v>
      </c>
      <c r="C132" s="619"/>
      <c r="D132" s="619"/>
      <c r="E132" s="619"/>
      <c r="F132" s="619"/>
      <c r="G132" s="619"/>
      <c r="H132" s="619"/>
      <c r="I132" s="619"/>
      <c r="J132" s="619"/>
      <c r="K132" s="619"/>
      <c r="L132" s="620"/>
      <c r="M132" s="2"/>
      <c r="O132" s="2" t="s">
        <v>3</v>
      </c>
      <c r="P132" s="2" t="s">
        <v>4</v>
      </c>
    </row>
    <row r="133" spans="2:16" x14ac:dyDescent="0.25">
      <c r="B133" s="24"/>
      <c r="C133" s="25"/>
      <c r="D133" s="26"/>
      <c r="E133" s="26"/>
      <c r="F133" s="26"/>
      <c r="G133" s="26"/>
      <c r="H133" s="26"/>
      <c r="I133" s="26"/>
      <c r="J133" s="26"/>
      <c r="K133" s="26"/>
      <c r="L133" s="27"/>
      <c r="M133" s="2"/>
    </row>
    <row r="134" spans="2:16" x14ac:dyDescent="0.25">
      <c r="B134" s="634" t="str">
        <f>IF(Intro!$G$21="English",O134,P134)</f>
        <v>The undersigned certifies that the information supplied herein is complete and correct to the best of their knowledge and belief.</v>
      </c>
      <c r="C134" s="635"/>
      <c r="D134" s="635"/>
      <c r="E134" s="635"/>
      <c r="F134" s="635"/>
      <c r="G134" s="635"/>
      <c r="H134" s="635"/>
      <c r="I134" s="635"/>
      <c r="J134" s="635"/>
      <c r="K134" s="635"/>
      <c r="L134" s="636"/>
      <c r="M134" s="2"/>
      <c r="O134" s="2" t="s">
        <v>665</v>
      </c>
      <c r="P134" s="2" t="s">
        <v>666</v>
      </c>
    </row>
    <row r="135" spans="2:16" x14ac:dyDescent="0.25">
      <c r="B135" s="170"/>
      <c r="C135" s="171"/>
      <c r="D135" s="171"/>
      <c r="E135" s="171"/>
      <c r="F135" s="171"/>
      <c r="G135" s="171"/>
      <c r="H135" s="171"/>
      <c r="I135" s="171"/>
      <c r="J135" s="171"/>
      <c r="K135" s="171"/>
      <c r="L135" s="172"/>
      <c r="M135" s="2"/>
    </row>
    <row r="136" spans="2:16" x14ac:dyDescent="0.25">
      <c r="B136" s="590" t="str">
        <f>IF(Intro!$G$21="English",O136,P136)</f>
        <v>Name of Authorized Official</v>
      </c>
      <c r="C136" s="591"/>
      <c r="D136" s="591"/>
      <c r="E136" s="592"/>
      <c r="F136" s="592"/>
      <c r="G136" s="592"/>
      <c r="H136" s="592"/>
      <c r="I136" s="592"/>
      <c r="J136" s="592"/>
      <c r="K136" s="592"/>
      <c r="L136" s="593"/>
      <c r="M136" s="2"/>
      <c r="O136" s="11" t="s">
        <v>12</v>
      </c>
      <c r="P136" s="2" t="s">
        <v>13</v>
      </c>
    </row>
    <row r="137" spans="2:16" x14ac:dyDescent="0.25">
      <c r="B137" s="590"/>
      <c r="C137" s="591"/>
      <c r="D137" s="591"/>
      <c r="E137" s="592"/>
      <c r="F137" s="592"/>
      <c r="G137" s="592"/>
      <c r="H137" s="592"/>
      <c r="I137" s="592"/>
      <c r="J137" s="592"/>
      <c r="K137" s="592"/>
      <c r="L137" s="593"/>
      <c r="M137" s="2"/>
      <c r="O137" s="11"/>
    </row>
    <row r="138" spans="2:16" x14ac:dyDescent="0.25">
      <c r="B138" s="590" t="str">
        <f>IF(Intro!$G$21="English",O138,P138)</f>
        <v>Title of Authorized Official</v>
      </c>
      <c r="C138" s="591"/>
      <c r="D138" s="591"/>
      <c r="E138" s="592"/>
      <c r="F138" s="592"/>
      <c r="G138" s="592"/>
      <c r="H138" s="592"/>
      <c r="I138" s="592"/>
      <c r="J138" s="592"/>
      <c r="K138" s="592"/>
      <c r="L138" s="593"/>
      <c r="M138" s="2"/>
      <c r="O138" s="11" t="s">
        <v>14</v>
      </c>
      <c r="P138" s="2" t="s">
        <v>15</v>
      </c>
    </row>
    <row r="139" spans="2:16" x14ac:dyDescent="0.25">
      <c r="B139" s="590"/>
      <c r="C139" s="591"/>
      <c r="D139" s="591"/>
      <c r="E139" s="592"/>
      <c r="F139" s="592"/>
      <c r="G139" s="592"/>
      <c r="H139" s="592"/>
      <c r="I139" s="592"/>
      <c r="J139" s="592"/>
      <c r="K139" s="592"/>
      <c r="L139" s="593"/>
      <c r="M139" s="2"/>
      <c r="O139" s="11"/>
    </row>
    <row r="140" spans="2:16" x14ac:dyDescent="0.25">
      <c r="B140" s="590" t="str">
        <f>IF(Intro!$G$21="English",O140,P140)</f>
        <v>E-mail Address</v>
      </c>
      <c r="C140" s="591"/>
      <c r="D140" s="591"/>
      <c r="E140" s="592"/>
      <c r="F140" s="592"/>
      <c r="G140" s="592"/>
      <c r="H140" s="592"/>
      <c r="I140" s="592"/>
      <c r="J140" s="592"/>
      <c r="K140" s="592"/>
      <c r="L140" s="593"/>
      <c r="M140" s="2"/>
      <c r="O140" s="11" t="s">
        <v>134</v>
      </c>
      <c r="P140" s="2" t="s">
        <v>432</v>
      </c>
    </row>
    <row r="141" spans="2:16" x14ac:dyDescent="0.25">
      <c r="B141" s="590"/>
      <c r="C141" s="591"/>
      <c r="D141" s="591"/>
      <c r="E141" s="592"/>
      <c r="F141" s="592"/>
      <c r="G141" s="592"/>
      <c r="H141" s="592"/>
      <c r="I141" s="592"/>
      <c r="J141" s="592"/>
      <c r="K141" s="592"/>
      <c r="L141" s="593"/>
      <c r="M141" s="2"/>
      <c r="O141" s="11"/>
    </row>
    <row r="142" spans="2:16" x14ac:dyDescent="0.25">
      <c r="B142" s="590" t="str">
        <f>IF(Intro!$G$21="English",O142,P142)</f>
        <v>Telephone</v>
      </c>
      <c r="C142" s="591"/>
      <c r="D142" s="591"/>
      <c r="E142" s="592"/>
      <c r="F142" s="592"/>
      <c r="G142" s="592"/>
      <c r="H142" s="592"/>
      <c r="I142" s="592"/>
      <c r="J142" s="592"/>
      <c r="K142" s="592"/>
      <c r="L142" s="593"/>
      <c r="M142" s="2"/>
      <c r="O142" s="11" t="s">
        <v>16</v>
      </c>
      <c r="P142" s="2" t="s">
        <v>17</v>
      </c>
    </row>
    <row r="143" spans="2:16" x14ac:dyDescent="0.25">
      <c r="B143" s="590"/>
      <c r="C143" s="591"/>
      <c r="D143" s="591"/>
      <c r="E143" s="592"/>
      <c r="F143" s="592"/>
      <c r="G143" s="592"/>
      <c r="H143" s="592"/>
      <c r="I143" s="592"/>
      <c r="J143" s="592"/>
      <c r="K143" s="592"/>
      <c r="L143" s="593"/>
      <c r="M143" s="2"/>
      <c r="O143" s="11"/>
    </row>
    <row r="144" spans="2:16" x14ac:dyDescent="0.25">
      <c r="B144" s="590" t="s">
        <v>135</v>
      </c>
      <c r="C144" s="591"/>
      <c r="D144" s="591"/>
      <c r="E144" s="621"/>
      <c r="F144" s="592"/>
      <c r="G144" s="592"/>
      <c r="H144" s="592"/>
      <c r="I144" s="592"/>
      <c r="J144" s="592"/>
      <c r="K144" s="592"/>
      <c r="L144" s="593"/>
      <c r="M144" s="2"/>
      <c r="O144" s="11"/>
    </row>
    <row r="145" spans="1:16" x14ac:dyDescent="0.25">
      <c r="B145" s="590"/>
      <c r="C145" s="591"/>
      <c r="D145" s="591"/>
      <c r="E145" s="592"/>
      <c r="F145" s="592"/>
      <c r="G145" s="592"/>
      <c r="H145" s="592"/>
      <c r="I145" s="592"/>
      <c r="J145" s="592"/>
      <c r="K145" s="592"/>
      <c r="L145" s="593"/>
      <c r="M145" s="2"/>
      <c r="O145" s="11"/>
    </row>
    <row r="146" spans="1:16" x14ac:dyDescent="0.25">
      <c r="B146" s="170"/>
      <c r="C146" s="171"/>
      <c r="D146" s="171"/>
      <c r="E146" s="171"/>
      <c r="F146" s="171"/>
      <c r="G146" s="171"/>
      <c r="H146" s="171"/>
      <c r="I146" s="171"/>
      <c r="J146" s="171"/>
      <c r="K146" s="171"/>
      <c r="L146" s="172"/>
      <c r="M146" s="2"/>
    </row>
    <row r="147" spans="1:16" ht="21" x14ac:dyDescent="0.25">
      <c r="B147" s="660" t="str">
        <f>IF(Intro!$G$21="English",O147,P147)</f>
        <v>I understand that checking this box constitutes my legally binding signature.</v>
      </c>
      <c r="C147" s="661"/>
      <c r="D147" s="661"/>
      <c r="E147" s="661"/>
      <c r="F147" s="661"/>
      <c r="G147" s="661"/>
      <c r="H147" s="661"/>
      <c r="I147" s="661"/>
      <c r="J147" s="205"/>
      <c r="K147" s="145"/>
      <c r="L147" s="146"/>
      <c r="M147" s="2"/>
      <c r="O147" s="11" t="s">
        <v>111</v>
      </c>
      <c r="P147" s="2" t="s">
        <v>112</v>
      </c>
    </row>
    <row r="148" spans="1:16" x14ac:dyDescent="0.25">
      <c r="B148" s="176"/>
      <c r="C148" s="177"/>
      <c r="D148" s="177"/>
      <c r="E148" s="177"/>
      <c r="F148" s="177"/>
      <c r="G148" s="177"/>
      <c r="H148" s="177"/>
      <c r="I148" s="177"/>
      <c r="J148" s="177"/>
      <c r="K148" s="177"/>
      <c r="L148" s="178"/>
      <c r="M148" s="2"/>
    </row>
    <row r="149" spans="1:16" s="9" customFormat="1" x14ac:dyDescent="0.25">
      <c r="A149" s="13"/>
      <c r="B149" s="22"/>
      <c r="C149" s="22"/>
      <c r="D149" s="23"/>
      <c r="E149" s="23"/>
      <c r="F149" s="23"/>
      <c r="G149" s="23"/>
      <c r="H149" s="23"/>
      <c r="I149" s="23"/>
      <c r="J149" s="23"/>
      <c r="K149" s="23"/>
      <c r="L149" s="23"/>
      <c r="O149" s="10"/>
      <c r="P149" s="10"/>
    </row>
    <row r="150" spans="1:16" s="8" customFormat="1" x14ac:dyDescent="0.25">
      <c r="A150" s="13"/>
      <c r="B150" s="618" t="str">
        <f>IF(Intro!$G$21="English",O150,P150)</f>
        <v>SUBMITTING THE QUESTIONNAIRE RESPONSE</v>
      </c>
      <c r="C150" s="619" t="str">
        <f>UPPER(IF(Intro!$G$21="English",P150,Q150))</f>
        <v>TRANSMISSION DU QUESTIONNAIRE REMPLI</v>
      </c>
      <c r="D150" s="619" t="str">
        <f>UPPER(IF(Intro!$G$21="English",Q150,R150))</f>
        <v/>
      </c>
      <c r="E150" s="619" t="str">
        <f>UPPER(IF(Intro!$G$21="English",R150,S150))</f>
        <v/>
      </c>
      <c r="F150" s="619"/>
      <c r="G150" s="619" t="str">
        <f>UPPER(IF(Intro!$G$21="English",S150,T150))</f>
        <v/>
      </c>
      <c r="H150" s="619" t="str">
        <f>UPPER(IF(Intro!$G$21="English",T150,U150))</f>
        <v/>
      </c>
      <c r="I150" s="619" t="str">
        <f>UPPER(IF(Intro!$G$21="English",U150,V150))</f>
        <v/>
      </c>
      <c r="J150" s="619" t="str">
        <f>UPPER(IF(Intro!$G$21="English",V150,W150))</f>
        <v/>
      </c>
      <c r="K150" s="619" t="str">
        <f>UPPER(IF(Intro!$G$21="English",W150,X150))</f>
        <v/>
      </c>
      <c r="L150" s="620" t="str">
        <f>UPPER(IF(Intro!$G$21="English",X150,Y150))</f>
        <v/>
      </c>
      <c r="M150" s="9"/>
      <c r="N150" s="15"/>
      <c r="O150" s="14" t="s">
        <v>132</v>
      </c>
      <c r="P150" s="14" t="s">
        <v>133</v>
      </c>
    </row>
    <row r="151" spans="1:16" x14ac:dyDescent="0.25">
      <c r="B151" s="24"/>
      <c r="C151" s="25"/>
      <c r="D151" s="26"/>
      <c r="E151" s="26"/>
      <c r="F151" s="26"/>
      <c r="G151" s="26"/>
      <c r="H151" s="26"/>
      <c r="I151" s="26"/>
      <c r="J151" s="26"/>
      <c r="K151" s="26"/>
      <c r="L151" s="27"/>
      <c r="M151" s="2"/>
    </row>
    <row r="152" spans="1:16" x14ac:dyDescent="0.25">
      <c r="B152" s="612" t="str">
        <f>IF(Intro!$G$21="English",O152,P152)</f>
        <v>The completed questionnaire can be submitted using one of the following methods:</v>
      </c>
      <c r="C152" s="613"/>
      <c r="D152" s="613"/>
      <c r="E152" s="613"/>
      <c r="F152" s="613"/>
      <c r="G152" s="613"/>
      <c r="H152" s="613"/>
      <c r="I152" s="613"/>
      <c r="J152" s="613"/>
      <c r="K152" s="613"/>
      <c r="L152" s="614"/>
      <c r="M152" s="2"/>
      <c r="O152" s="2" t="s">
        <v>322</v>
      </c>
      <c r="P152" s="2" t="s">
        <v>2</v>
      </c>
    </row>
    <row r="153" spans="1:16" x14ac:dyDescent="0.25">
      <c r="B153" s="664" t="str">
        <f>IF($G$21="English",HYPERLINK("https://e-filing-depot-electronique.citt-tcce.gc.ca/submitNonRegisteredUser-eng.aspx","1. Secure E-filing service;"),IF($G$21="Français",HYPERLINK("https://e-filing-depot-electronique.citt-tcce.gc.ca/submitNonRegisteredUser-fra.aspx?","1. Service sécurisé de dépôt électronique;"),""))</f>
        <v>1. Secure E-filing service;</v>
      </c>
      <c r="C153" s="665"/>
      <c r="D153" s="665"/>
      <c r="E153" s="665"/>
      <c r="F153" s="665"/>
      <c r="G153" s="665"/>
      <c r="H153" s="665"/>
      <c r="I153" s="665"/>
      <c r="J153" s="665"/>
      <c r="K153" s="665"/>
      <c r="L153" s="666"/>
      <c r="M153" s="2"/>
    </row>
    <row r="154" spans="1:16" x14ac:dyDescent="0.25">
      <c r="B154" s="646" t="str">
        <f>IF(Intro!$G$21="English",O154,P154)</f>
        <v xml:space="preserve">When submitting the completed questionnaire using the secure E-filing service, designate the questionnaire as confidential. Note that the information in the public (blue) tabs in your questionnaire will be treated as public information.
</v>
      </c>
      <c r="C154" s="647"/>
      <c r="D154" s="647"/>
      <c r="E154" s="647"/>
      <c r="F154" s="647"/>
      <c r="G154" s="647"/>
      <c r="H154" s="647"/>
      <c r="I154" s="647"/>
      <c r="J154" s="647"/>
      <c r="K154" s="647"/>
      <c r="L154" s="648"/>
      <c r="M154" s="2"/>
      <c r="O154" s="2" t="s">
        <v>361</v>
      </c>
      <c r="P154" s="2" t="s">
        <v>400</v>
      </c>
    </row>
    <row r="155" spans="1:16" x14ac:dyDescent="0.25">
      <c r="B155" s="646"/>
      <c r="C155" s="647"/>
      <c r="D155" s="647"/>
      <c r="E155" s="647"/>
      <c r="F155" s="647"/>
      <c r="G155" s="647"/>
      <c r="H155" s="647"/>
      <c r="I155" s="647"/>
      <c r="J155" s="647"/>
      <c r="K155" s="647"/>
      <c r="L155" s="648"/>
      <c r="M155" s="2"/>
    </row>
    <row r="156" spans="1:16" x14ac:dyDescent="0.25">
      <c r="B156" s="634" t="str">
        <f>IF(Intro!$G$21="English",O156,P156)</f>
        <v>2. E-mail to citt-tcce@tribunal.gc.ca if you accept the associated risks and you are filing information that belongs to your firm only.</v>
      </c>
      <c r="C156" s="635"/>
      <c r="D156" s="635"/>
      <c r="E156" s="635"/>
      <c r="F156" s="635"/>
      <c r="G156" s="635"/>
      <c r="H156" s="635"/>
      <c r="I156" s="635"/>
      <c r="J156" s="635"/>
      <c r="K156" s="635"/>
      <c r="L156" s="636"/>
      <c r="M156" s="2"/>
      <c r="O156" s="2" t="s">
        <v>556</v>
      </c>
      <c r="P156" s="2" t="s">
        <v>667</v>
      </c>
    </row>
    <row r="157" spans="1:16" x14ac:dyDescent="0.25">
      <c r="B157" s="176"/>
      <c r="C157" s="177"/>
      <c r="D157" s="177"/>
      <c r="E157" s="177"/>
      <c r="F157" s="177"/>
      <c r="G157" s="177"/>
      <c r="H157" s="177"/>
      <c r="I157" s="177"/>
      <c r="J157" s="177"/>
      <c r="K157" s="177"/>
      <c r="L157" s="178"/>
      <c r="M157" s="2"/>
    </row>
    <row r="159" spans="1:16" s="8" customFormat="1" x14ac:dyDescent="0.25">
      <c r="A159" s="13"/>
      <c r="B159" s="618" t="s">
        <v>629</v>
      </c>
      <c r="C159" s="619" t="str">
        <f>UPPER(IF(Intro!$G$21="English",P159,Q159))</f>
        <v/>
      </c>
      <c r="D159" s="619" t="str">
        <f>UPPER(IF(Intro!$G$21="English",Q159,R159))</f>
        <v/>
      </c>
      <c r="E159" s="619" t="str">
        <f>UPPER(IF(Intro!$G$21="English",R159,S159))</f>
        <v/>
      </c>
      <c r="F159" s="619"/>
      <c r="G159" s="619" t="str">
        <f>UPPER(IF(Intro!$G$21="English",S159,T159))</f>
        <v/>
      </c>
      <c r="H159" s="619" t="str">
        <f>UPPER(IF(Intro!$G$21="English",T159,U159))</f>
        <v/>
      </c>
      <c r="I159" s="619" t="str">
        <f>UPPER(IF(Intro!$G$21="English",U159,V159))</f>
        <v/>
      </c>
      <c r="J159" s="619" t="str">
        <f>UPPER(IF(Intro!$G$21="English",V159,W159))</f>
        <v/>
      </c>
      <c r="K159" s="619" t="str">
        <f>UPPER(IF(Intro!$G$21="English",W159,X159))</f>
        <v/>
      </c>
      <c r="L159" s="620" t="str">
        <f>UPPER(IF(Intro!$G$21="English",X159,Y159))</f>
        <v/>
      </c>
      <c r="M159" s="9"/>
      <c r="N159" s="15"/>
      <c r="O159" s="14"/>
      <c r="P159" s="14"/>
    </row>
    <row r="160" spans="1:16" x14ac:dyDescent="0.25">
      <c r="B160" s="24"/>
      <c r="C160" s="25"/>
      <c r="D160" s="26"/>
      <c r="E160" s="26"/>
      <c r="F160" s="26"/>
      <c r="G160" s="26"/>
      <c r="H160" s="26"/>
      <c r="I160" s="26"/>
      <c r="J160" s="26"/>
      <c r="K160" s="26"/>
      <c r="L160" s="27"/>
      <c r="M160" s="2"/>
    </row>
    <row r="161" spans="2:16" x14ac:dyDescent="0.25">
      <c r="B161" s="612" t="str">
        <f>IF(Intro!$G$21="English",O161,P161)</f>
        <v xml:space="preserve">Questions relating to this questionnaire should be directed to:
</v>
      </c>
      <c r="C161" s="613"/>
      <c r="D161" s="613"/>
      <c r="E161" s="613"/>
      <c r="F161" s="613"/>
      <c r="G161" s="613"/>
      <c r="H161" s="613"/>
      <c r="I161" s="613"/>
      <c r="J161" s="613"/>
      <c r="K161" s="613"/>
      <c r="L161" s="614"/>
      <c r="M161" s="2"/>
      <c r="O161" s="2" t="s">
        <v>391</v>
      </c>
      <c r="P161" s="2" t="s">
        <v>392</v>
      </c>
    </row>
    <row r="162" spans="2:16" x14ac:dyDescent="0.25">
      <c r="B162" s="159"/>
      <c r="C162" s="160"/>
      <c r="D162" s="160"/>
      <c r="E162" s="160"/>
      <c r="F162" s="160"/>
      <c r="G162" s="160"/>
      <c r="H162" s="160"/>
      <c r="I162" s="160"/>
      <c r="J162" s="160"/>
      <c r="K162" s="160"/>
      <c r="L162" s="161"/>
      <c r="M162" s="2"/>
    </row>
    <row r="163" spans="2:16" x14ac:dyDescent="0.25">
      <c r="B163" s="662" t="str">
        <f>Variables!B13</f>
        <v>Thy Dao</v>
      </c>
      <c r="C163" s="663"/>
      <c r="D163" s="663"/>
      <c r="E163" s="663" t="str">
        <f>Variables!C13</f>
        <v>thy.dao@tribunal.gc.ca</v>
      </c>
      <c r="F163" s="663"/>
      <c r="G163" s="663"/>
      <c r="H163" s="663"/>
      <c r="I163" s="663"/>
      <c r="J163" s="663" t="str">
        <f>Variables!D13</f>
        <v>613-558-6438</v>
      </c>
      <c r="K163" s="663"/>
      <c r="L163" s="667"/>
      <c r="M163" s="2"/>
      <c r="O163" s="11"/>
    </row>
    <row r="164" spans="2:16" x14ac:dyDescent="0.25">
      <c r="B164" s="662" t="str">
        <f>Variables!B14</f>
        <v>Andrew Wigmore</v>
      </c>
      <c r="C164" s="663"/>
      <c r="D164" s="663"/>
      <c r="E164" s="663" t="str">
        <f>Variables!C14</f>
        <v>andrew.wigmore@tribunal.gc.ca</v>
      </c>
      <c r="F164" s="663"/>
      <c r="G164" s="663"/>
      <c r="H164" s="663"/>
      <c r="I164" s="663"/>
      <c r="J164" s="663" t="str">
        <f>Variables!D14</f>
        <v>613-558-9353</v>
      </c>
      <c r="K164" s="663"/>
      <c r="L164" s="667"/>
      <c r="M164" s="2"/>
      <c r="O164" s="11"/>
    </row>
    <row r="165" spans="2:16" x14ac:dyDescent="0.25">
      <c r="B165" s="662" t="str">
        <f>Variables!B15</f>
        <v>William Phan</v>
      </c>
      <c r="C165" s="663"/>
      <c r="D165" s="663"/>
      <c r="E165" s="663" t="str">
        <f>Variables!C15</f>
        <v>william.phan@tribunal.gc.ca</v>
      </c>
      <c r="F165" s="663"/>
      <c r="G165" s="663"/>
      <c r="H165" s="663"/>
      <c r="I165" s="663"/>
      <c r="J165" s="663" t="str">
        <f>Variables!D15</f>
        <v>343-543-7269</v>
      </c>
      <c r="K165" s="663"/>
      <c r="L165" s="667"/>
      <c r="M165" s="2"/>
      <c r="O165" s="11"/>
    </row>
    <row r="166" spans="2:16" x14ac:dyDescent="0.25">
      <c r="B166" s="176"/>
      <c r="C166" s="177"/>
      <c r="D166" s="177"/>
      <c r="E166" s="177"/>
      <c r="F166" s="177"/>
      <c r="G166" s="177"/>
      <c r="H166" s="177"/>
      <c r="I166" s="177"/>
      <c r="J166" s="177"/>
      <c r="K166" s="177"/>
      <c r="L166" s="178"/>
      <c r="M166" s="2"/>
    </row>
  </sheetData>
  <sheetProtection algorithmName="SHA-512" hashValue="54zX9UJB/k5AguUA+xzE2Bkg2/IWS7FAx7ZXhrRTM6rBXvqOIR83ZcxjF8QUB/aN0ngtmLTtqv58/Y4MlPy3ag==" saltValue="nfbtV9j5JyBsdkWWEuJ+bQ==" spinCount="100000" sheet="1" objects="1" scenarios="1" selectLockedCells="1"/>
  <mergeCells count="80">
    <mergeCell ref="B165:D165"/>
    <mergeCell ref="E165:I165"/>
    <mergeCell ref="J165:L165"/>
    <mergeCell ref="J163:L163"/>
    <mergeCell ref="J164:L164"/>
    <mergeCell ref="B147:I147"/>
    <mergeCell ref="B163:D163"/>
    <mergeCell ref="B164:D164"/>
    <mergeCell ref="E163:I163"/>
    <mergeCell ref="E164:I164"/>
    <mergeCell ref="B150:L150"/>
    <mergeCell ref="B152:L152"/>
    <mergeCell ref="B161:L161"/>
    <mergeCell ref="B153:L153"/>
    <mergeCell ref="B159:L159"/>
    <mergeCell ref="B142:D143"/>
    <mergeCell ref="B144:D145"/>
    <mergeCell ref="B156:L156"/>
    <mergeCell ref="B154:L155"/>
    <mergeCell ref="B4:L4"/>
    <mergeCell ref="B5:L5"/>
    <mergeCell ref="B58:L58"/>
    <mergeCell ref="B8:L8"/>
    <mergeCell ref="B25:L25"/>
    <mergeCell ref="B27:L27"/>
    <mergeCell ref="B19:L19"/>
    <mergeCell ref="B10:F16"/>
    <mergeCell ref="H10:L16"/>
    <mergeCell ref="B73:L73"/>
    <mergeCell ref="B99:L99"/>
    <mergeCell ref="B6:L6"/>
    <mergeCell ref="D68:E71"/>
    <mergeCell ref="F68:L71"/>
    <mergeCell ref="D89:J90"/>
    <mergeCell ref="B95:L96"/>
    <mergeCell ref="B93:L93"/>
    <mergeCell ref="B87:L87"/>
    <mergeCell ref="B75:L84"/>
    <mergeCell ref="B68:C71"/>
    <mergeCell ref="E144:L145"/>
    <mergeCell ref="E142:L143"/>
    <mergeCell ref="B132:L132"/>
    <mergeCell ref="B101:D102"/>
    <mergeCell ref="E101:L102"/>
    <mergeCell ref="B103:D104"/>
    <mergeCell ref="B105:D106"/>
    <mergeCell ref="E105:L106"/>
    <mergeCell ref="E103:L104"/>
    <mergeCell ref="B109:D118"/>
    <mergeCell ref="E109:L118"/>
    <mergeCell ref="B134:L134"/>
    <mergeCell ref="B136:D137"/>
    <mergeCell ref="E136:L137"/>
    <mergeCell ref="E138:L139"/>
    <mergeCell ref="B138:D139"/>
    <mergeCell ref="O9:P17"/>
    <mergeCell ref="B140:D141"/>
    <mergeCell ref="E140:L141"/>
    <mergeCell ref="B21:F22"/>
    <mergeCell ref="H21:L22"/>
    <mergeCell ref="G21:G22"/>
    <mergeCell ref="C29:K56"/>
    <mergeCell ref="B66:C67"/>
    <mergeCell ref="D66:E67"/>
    <mergeCell ref="F66:L67"/>
    <mergeCell ref="B28:L28"/>
    <mergeCell ref="B57:L57"/>
    <mergeCell ref="B63:L63"/>
    <mergeCell ref="D65:E65"/>
    <mergeCell ref="F65:L65"/>
    <mergeCell ref="B61:L61"/>
    <mergeCell ref="B127:D128"/>
    <mergeCell ref="E127:L128"/>
    <mergeCell ref="B129:D130"/>
    <mergeCell ref="E129:L130"/>
    <mergeCell ref="B121:L121"/>
    <mergeCell ref="B123:D124"/>
    <mergeCell ref="E123:L124"/>
    <mergeCell ref="B125:D126"/>
    <mergeCell ref="E125:L126"/>
  </mergeCells>
  <dataValidations count="3">
    <dataValidation type="list" allowBlank="1" showInputMessage="1" showErrorMessage="1" sqref="J147" xr:uid="{EB39B09B-D0F1-436F-B804-013D0C460A66}">
      <formula1>"X"</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75" xr:uid="{F430DF32-834C-4959-BEAA-B4F42952D68C}">
      <formula1>1000</formula1>
    </dataValidation>
    <dataValidation type="list" allowBlank="1" showInputMessage="1" showErrorMessage="1" sqref="G21" xr:uid="{F5AA4BE9-9448-48C5-BA37-1F2FA482299A}">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74" min="1" max="11" man="1"/>
    <brk id="131" min="1" max="11" man="1"/>
  </rowBreaks>
  <ignoredErrors>
    <ignoredError sqref="B153"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FABF1EE-6BF0-4F54-BD3F-623D108CC299}">
          <x14:formula1>
            <xm:f>Variables!$D$54:$D$55</xm:f>
          </x14:formula1>
          <xm:sqref>D66:E71</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F1968-B195-4931-A7C1-10D63DF3911C}">
  <sheetPr>
    <tabColor rgb="FFFF0000"/>
  </sheetPr>
  <dimension ref="A3:AN12"/>
  <sheetViews>
    <sheetView workbookViewId="0">
      <selection activeCell="AB17" sqref="AB17"/>
    </sheetView>
  </sheetViews>
  <sheetFormatPr defaultRowHeight="15" x14ac:dyDescent="0.25"/>
  <cols>
    <col min="1" max="1" width="42.42578125" bestFit="1" customWidth="1"/>
    <col min="2" max="2" width="16.28515625" customWidth="1"/>
    <col min="3" max="3" width="10.5703125" bestFit="1" customWidth="1"/>
    <col min="4" max="4" width="13.28515625" bestFit="1" customWidth="1"/>
    <col min="5" max="7" width="8.28515625" customWidth="1"/>
    <col min="8" max="8" width="11.42578125" bestFit="1" customWidth="1"/>
    <col min="9" max="9" width="12.5703125" customWidth="1"/>
    <col min="10" max="10" width="17.28515625" bestFit="1" customWidth="1"/>
    <col min="11" max="11" width="15.5703125" bestFit="1" customWidth="1"/>
    <col min="12" max="12" width="7.5703125" customWidth="1"/>
    <col min="13" max="13" width="23.42578125" bestFit="1" customWidth="1"/>
    <col min="14" max="14" width="28.7109375" customWidth="1"/>
    <col min="15" max="15" width="20.5703125" customWidth="1"/>
    <col min="16" max="16" width="12.42578125" bestFit="1" customWidth="1"/>
    <col min="17" max="32" width="10.28515625" customWidth="1"/>
    <col min="33" max="40" width="10.42578125" customWidth="1"/>
  </cols>
  <sheetData>
    <row r="3" spans="1:40" ht="26.25" x14ac:dyDescent="0.25">
      <c r="A3" s="499" t="s">
        <v>475</v>
      </c>
      <c r="B3" s="499" t="s">
        <v>994</v>
      </c>
      <c r="C3" s="499" t="s">
        <v>476</v>
      </c>
      <c r="D3" s="499" t="s">
        <v>477</v>
      </c>
      <c r="E3" s="500" t="s">
        <v>995</v>
      </c>
      <c r="F3" s="500" t="s">
        <v>907</v>
      </c>
      <c r="G3" s="500" t="s">
        <v>908</v>
      </c>
      <c r="H3" s="499" t="s">
        <v>479</v>
      </c>
      <c r="I3" s="499" t="s">
        <v>480</v>
      </c>
      <c r="J3" s="323" t="s">
        <v>909</v>
      </c>
      <c r="K3" s="499" t="s">
        <v>481</v>
      </c>
      <c r="L3" s="499" t="s">
        <v>910</v>
      </c>
      <c r="M3" s="499" t="s">
        <v>538</v>
      </c>
      <c r="N3" s="499" t="s">
        <v>996</v>
      </c>
      <c r="O3" s="499" t="s">
        <v>997</v>
      </c>
      <c r="P3" s="499" t="s">
        <v>483</v>
      </c>
      <c r="Q3" s="501" t="s">
        <v>548</v>
      </c>
      <c r="R3" s="501" t="s">
        <v>549</v>
      </c>
      <c r="S3" s="501" t="s">
        <v>550</v>
      </c>
      <c r="T3" s="501" t="s">
        <v>551</v>
      </c>
      <c r="U3" s="501" t="s">
        <v>552</v>
      </c>
      <c r="V3" s="501" t="s">
        <v>553</v>
      </c>
      <c r="W3" s="501" t="s">
        <v>998</v>
      </c>
      <c r="X3" s="502" t="s">
        <v>999</v>
      </c>
      <c r="Y3" s="503" t="str">
        <f t="shared" ref="Y3:AN3" si="0">Q3</f>
        <v>Q3  |  T3 2023</v>
      </c>
      <c r="Z3" s="503" t="str">
        <f t="shared" si="0"/>
        <v>Q4  |  T4 2023</v>
      </c>
      <c r="AA3" s="503" t="str">
        <f t="shared" si="0"/>
        <v>Q1  |  T1 2024</v>
      </c>
      <c r="AB3" s="503" t="str">
        <f t="shared" si="0"/>
        <v>Q2  |  T2 2024</v>
      </c>
      <c r="AC3" s="503" t="str">
        <f t="shared" si="0"/>
        <v>Q3  |  T3 2024</v>
      </c>
      <c r="AD3" s="503" t="str">
        <f t="shared" si="0"/>
        <v>Q4  |  T4 2024</v>
      </c>
      <c r="AE3" s="503" t="str">
        <f t="shared" si="0"/>
        <v>Q1  |  T1 2025</v>
      </c>
      <c r="AF3" s="503" t="str">
        <f t="shared" si="0"/>
        <v>Q2  |  T2 2025</v>
      </c>
      <c r="AG3" s="503" t="str">
        <f t="shared" si="0"/>
        <v>Q3  |  T3 2023</v>
      </c>
      <c r="AH3" s="503" t="str">
        <f t="shared" si="0"/>
        <v>Q4  |  T4 2023</v>
      </c>
      <c r="AI3" s="503" t="str">
        <f t="shared" si="0"/>
        <v>Q1  |  T1 2024</v>
      </c>
      <c r="AJ3" s="503" t="str">
        <f t="shared" si="0"/>
        <v>Q2  |  T2 2024</v>
      </c>
      <c r="AK3" s="503" t="str">
        <f t="shared" si="0"/>
        <v>Q3  |  T3 2024</v>
      </c>
      <c r="AL3" s="503" t="str">
        <f t="shared" si="0"/>
        <v>Q4  |  T4 2024</v>
      </c>
      <c r="AM3" s="503" t="str">
        <f t="shared" si="0"/>
        <v>Q1  |  T1 2025</v>
      </c>
      <c r="AN3" s="503" t="str">
        <f t="shared" si="0"/>
        <v>Q2  |  T2 2025</v>
      </c>
    </row>
    <row r="4" spans="1:40" x14ac:dyDescent="0.25">
      <c r="A4" s="504">
        <f>Intro!E101</f>
        <v>0</v>
      </c>
      <c r="B4" s="505">
        <f>A4</f>
        <v>0</v>
      </c>
      <c r="C4" s="505" t="s">
        <v>491</v>
      </c>
      <c r="D4" s="505" t="s">
        <v>493</v>
      </c>
      <c r="E4" s="506"/>
      <c r="F4" s="506"/>
      <c r="G4" s="505"/>
      <c r="H4" s="505" t="s">
        <v>516</v>
      </c>
      <c r="I4" s="505" t="s">
        <v>493</v>
      </c>
      <c r="J4" s="505" t="s">
        <v>493</v>
      </c>
      <c r="K4" s="505" t="s">
        <v>493</v>
      </c>
      <c r="L4" s="505" t="s">
        <v>492</v>
      </c>
      <c r="M4" s="505" t="s">
        <v>493</v>
      </c>
      <c r="N4" s="505" t="s">
        <v>1018</v>
      </c>
      <c r="O4" s="505" t="s">
        <v>1000</v>
      </c>
      <c r="P4" s="507" t="s">
        <v>495</v>
      </c>
      <c r="Q4" s="508">
        <f>'Pro 2'!E279</f>
        <v>0</v>
      </c>
      <c r="R4" s="508">
        <f>'Pro 2'!F279</f>
        <v>0</v>
      </c>
      <c r="S4" s="508">
        <f>'Pro 2'!G279</f>
        <v>0</v>
      </c>
      <c r="T4" s="508">
        <f>'Pro 2'!H279</f>
        <v>0</v>
      </c>
      <c r="U4" s="508">
        <f>'Pro 2'!I279</f>
        <v>0</v>
      </c>
      <c r="V4" s="508">
        <f>'Pro 2'!J279</f>
        <v>0</v>
      </c>
      <c r="W4" s="508">
        <f>'Pro 2'!K279</f>
        <v>0</v>
      </c>
      <c r="X4" s="508">
        <f>'Pro 2'!L279</f>
        <v>0</v>
      </c>
      <c r="Y4" s="509">
        <f>'Pro 2'!E280/1000</f>
        <v>0</v>
      </c>
      <c r="Z4" s="508">
        <f>'Pro 2'!F280/1000</f>
        <v>0</v>
      </c>
      <c r="AA4" s="508">
        <f>'Pro 2'!G280/1000</f>
        <v>0</v>
      </c>
      <c r="AB4" s="508">
        <f>'Pro 2'!H280/1000</f>
        <v>0</v>
      </c>
      <c r="AC4" s="508">
        <f>'Pro 2'!I280/1000</f>
        <v>0</v>
      </c>
      <c r="AD4" s="508">
        <f>'Pro 2'!J280/1000</f>
        <v>0</v>
      </c>
      <c r="AE4" s="508">
        <f>'Pro 2'!K280/1000</f>
        <v>0</v>
      </c>
      <c r="AF4" s="508">
        <f>'Pro 2'!L280/1000</f>
        <v>0</v>
      </c>
      <c r="AG4" s="510">
        <f>IF(ISERROR(Y4/Q4),0,Y4/Q4)*1000</f>
        <v>0</v>
      </c>
      <c r="AH4" s="511">
        <f t="shared" ref="AG4:AN12" si="1">IF(ISERROR(Z4/R4),0,Z4/R4)*1000</f>
        <v>0</v>
      </c>
      <c r="AI4" s="511">
        <f t="shared" si="1"/>
        <v>0</v>
      </c>
      <c r="AJ4" s="511">
        <f t="shared" si="1"/>
        <v>0</v>
      </c>
      <c r="AK4" s="511">
        <f t="shared" si="1"/>
        <v>0</v>
      </c>
      <c r="AL4" s="511">
        <f t="shared" si="1"/>
        <v>0</v>
      </c>
      <c r="AM4" s="511">
        <f t="shared" si="1"/>
        <v>0</v>
      </c>
      <c r="AN4" s="512">
        <f t="shared" si="1"/>
        <v>0</v>
      </c>
    </row>
    <row r="5" spans="1:40" x14ac:dyDescent="0.25">
      <c r="A5" s="513">
        <f t="shared" ref="A5:A11" si="2">A4</f>
        <v>0</v>
      </c>
      <c r="B5" s="513">
        <f>A5</f>
        <v>0</v>
      </c>
      <c r="C5" s="513" t="str">
        <f>C4</f>
        <v>1 - Producer</v>
      </c>
      <c r="D5" s="513" t="str">
        <f t="shared" ref="D5:D11" si="3">D4</f>
        <v>DOM</v>
      </c>
      <c r="E5" s="514"/>
      <c r="F5" s="514"/>
      <c r="G5" s="515"/>
      <c r="H5" s="513" t="str">
        <f>H4</f>
        <v>A - DOM</v>
      </c>
      <c r="I5" s="513" t="s">
        <v>493</v>
      </c>
      <c r="J5" s="513" t="s">
        <v>493</v>
      </c>
      <c r="K5" s="513" t="s">
        <v>493</v>
      </c>
      <c r="L5" s="513" t="s">
        <v>492</v>
      </c>
      <c r="M5" s="513" t="s">
        <v>493</v>
      </c>
      <c r="N5" s="513" t="s">
        <v>1019</v>
      </c>
      <c r="O5" s="513" t="s">
        <v>1001</v>
      </c>
      <c r="P5" s="516" t="s">
        <v>495</v>
      </c>
      <c r="Q5" s="517">
        <f>'Pro 2'!E284</f>
        <v>0</v>
      </c>
      <c r="R5" s="517">
        <f>'Pro 2'!F284</f>
        <v>0</v>
      </c>
      <c r="S5" s="517">
        <f>'Pro 2'!G284</f>
        <v>0</v>
      </c>
      <c r="T5" s="517">
        <f>'Pro 2'!H284</f>
        <v>0</v>
      </c>
      <c r="U5" s="517">
        <f>'Pro 2'!I284</f>
        <v>0</v>
      </c>
      <c r="V5" s="517">
        <f>'Pro 2'!J284</f>
        <v>0</v>
      </c>
      <c r="W5" s="517">
        <f>'Pro 2'!K284</f>
        <v>0</v>
      </c>
      <c r="X5" s="517">
        <f>'Pro 2'!L284</f>
        <v>0</v>
      </c>
      <c r="Y5" s="518">
        <f>'Pro 2'!E285/1000</f>
        <v>0</v>
      </c>
      <c r="Z5" s="517">
        <f>'Pro 2'!F285/1000</f>
        <v>0</v>
      </c>
      <c r="AA5" s="517">
        <f>'Pro 2'!G285/1000</f>
        <v>0</v>
      </c>
      <c r="AB5" s="517">
        <f>'Pro 2'!H285/1000</f>
        <v>0</v>
      </c>
      <c r="AC5" s="517">
        <f>'Pro 2'!I285/1000</f>
        <v>0</v>
      </c>
      <c r="AD5" s="517">
        <f>'Pro 2'!J285/1000</f>
        <v>0</v>
      </c>
      <c r="AE5" s="517">
        <f>'Pro 2'!K285/1000</f>
        <v>0</v>
      </c>
      <c r="AF5" s="517">
        <f>'Pro 2'!L285/1000</f>
        <v>0</v>
      </c>
      <c r="AG5" s="519">
        <f t="shared" si="1"/>
        <v>0</v>
      </c>
      <c r="AH5" s="520">
        <f t="shared" si="1"/>
        <v>0</v>
      </c>
      <c r="AI5" s="520">
        <f t="shared" si="1"/>
        <v>0</v>
      </c>
      <c r="AJ5" s="520">
        <f t="shared" si="1"/>
        <v>0</v>
      </c>
      <c r="AK5" s="520">
        <f t="shared" si="1"/>
        <v>0</v>
      </c>
      <c r="AL5" s="520">
        <f t="shared" si="1"/>
        <v>0</v>
      </c>
      <c r="AM5" s="520">
        <f t="shared" si="1"/>
        <v>0</v>
      </c>
      <c r="AN5" s="521">
        <f t="shared" si="1"/>
        <v>0</v>
      </c>
    </row>
    <row r="6" spans="1:40" x14ac:dyDescent="0.25">
      <c r="A6" s="522">
        <f t="shared" si="2"/>
        <v>0</v>
      </c>
      <c r="B6" s="522">
        <f>A6</f>
        <v>0</v>
      </c>
      <c r="C6" s="522" t="str">
        <f t="shared" ref="C6:C11" si="4">C5</f>
        <v>1 - Producer</v>
      </c>
      <c r="D6" s="522" t="str">
        <f t="shared" si="3"/>
        <v>DOM</v>
      </c>
      <c r="E6" s="523"/>
      <c r="F6" s="523"/>
      <c r="G6" s="522"/>
      <c r="H6" s="522" t="str">
        <f t="shared" ref="H6:H11" si="5">H5</f>
        <v>A - DOM</v>
      </c>
      <c r="I6" s="522" t="s">
        <v>493</v>
      </c>
      <c r="J6" s="522" t="s">
        <v>493</v>
      </c>
      <c r="K6" s="522" t="s">
        <v>493</v>
      </c>
      <c r="L6" s="522" t="s">
        <v>492</v>
      </c>
      <c r="M6" s="522" t="s">
        <v>493</v>
      </c>
      <c r="N6" s="522" t="s">
        <v>1020</v>
      </c>
      <c r="O6" s="522" t="s">
        <v>1002</v>
      </c>
      <c r="P6" s="524" t="s">
        <v>495</v>
      </c>
      <c r="Q6" s="517">
        <f>'Pro 2'!E289</f>
        <v>0</v>
      </c>
      <c r="R6" s="517">
        <f>'Pro 2'!F289</f>
        <v>0</v>
      </c>
      <c r="S6" s="517">
        <f>'Pro 2'!G289</f>
        <v>0</v>
      </c>
      <c r="T6" s="517">
        <f>'Pro 2'!H289</f>
        <v>0</v>
      </c>
      <c r="U6" s="517">
        <f>'Pro 2'!I289</f>
        <v>0</v>
      </c>
      <c r="V6" s="517">
        <f>'Pro 2'!J289</f>
        <v>0</v>
      </c>
      <c r="W6" s="517">
        <f>'Pro 2'!K289</f>
        <v>0</v>
      </c>
      <c r="X6" s="517">
        <f>'Pro 2'!L289</f>
        <v>0</v>
      </c>
      <c r="Y6" s="509">
        <f>'Pro 2'!E290/1000</f>
        <v>0</v>
      </c>
      <c r="Z6" s="517">
        <f>'Pro 2'!F290/1000</f>
        <v>0</v>
      </c>
      <c r="AA6" s="517">
        <f>'Pro 2'!G290/1000</f>
        <v>0</v>
      </c>
      <c r="AB6" s="517">
        <f>'Pro 2'!H290/1000</f>
        <v>0</v>
      </c>
      <c r="AC6" s="517">
        <f>'Pro 2'!I290/1000</f>
        <v>0</v>
      </c>
      <c r="AD6" s="517">
        <f>'Pro 2'!J290/1000</f>
        <v>0</v>
      </c>
      <c r="AE6" s="517">
        <f>'Pro 2'!K290/1000</f>
        <v>0</v>
      </c>
      <c r="AF6" s="517">
        <f>'Pro 2'!L290/1000</f>
        <v>0</v>
      </c>
      <c r="AG6" s="525">
        <f t="shared" si="1"/>
        <v>0</v>
      </c>
      <c r="AH6" s="526">
        <f t="shared" si="1"/>
        <v>0</v>
      </c>
      <c r="AI6" s="526">
        <f t="shared" si="1"/>
        <v>0</v>
      </c>
      <c r="AJ6" s="526">
        <f t="shared" si="1"/>
        <v>0</v>
      </c>
      <c r="AK6" s="526">
        <f t="shared" si="1"/>
        <v>0</v>
      </c>
      <c r="AL6" s="526">
        <f t="shared" si="1"/>
        <v>0</v>
      </c>
      <c r="AM6" s="526">
        <f t="shared" si="1"/>
        <v>0</v>
      </c>
      <c r="AN6" s="527">
        <f t="shared" si="1"/>
        <v>0</v>
      </c>
    </row>
    <row r="7" spans="1:40" x14ac:dyDescent="0.25">
      <c r="A7" s="513">
        <f t="shared" si="2"/>
        <v>0</v>
      </c>
      <c r="B7" s="513">
        <f t="shared" ref="B7:B12" si="6">A7</f>
        <v>0</v>
      </c>
      <c r="C7" s="513" t="str">
        <f t="shared" si="4"/>
        <v>1 - Producer</v>
      </c>
      <c r="D7" s="513" t="str">
        <f t="shared" si="3"/>
        <v>DOM</v>
      </c>
      <c r="E7" s="514"/>
      <c r="F7" s="514"/>
      <c r="G7" s="515"/>
      <c r="H7" s="513" t="str">
        <f t="shared" si="5"/>
        <v>A - DOM</v>
      </c>
      <c r="I7" s="513" t="s">
        <v>493</v>
      </c>
      <c r="J7" s="513" t="s">
        <v>493</v>
      </c>
      <c r="K7" s="513" t="s">
        <v>493</v>
      </c>
      <c r="L7" s="513" t="s">
        <v>492</v>
      </c>
      <c r="M7" s="513" t="s">
        <v>493</v>
      </c>
      <c r="N7" s="513" t="s">
        <v>1021</v>
      </c>
      <c r="O7" s="513" t="s">
        <v>1003</v>
      </c>
      <c r="P7" s="516" t="s">
        <v>495</v>
      </c>
      <c r="Q7" s="517">
        <f>'Pro 2'!E294</f>
        <v>0</v>
      </c>
      <c r="R7" s="517">
        <f>'Pro 2'!F294</f>
        <v>0</v>
      </c>
      <c r="S7" s="517">
        <f>'Pro 2'!G294</f>
        <v>0</v>
      </c>
      <c r="T7" s="517">
        <f>'Pro 2'!H294</f>
        <v>0</v>
      </c>
      <c r="U7" s="517">
        <f>'Pro 2'!I294</f>
        <v>0</v>
      </c>
      <c r="V7" s="517">
        <f>'Pro 2'!J294</f>
        <v>0</v>
      </c>
      <c r="W7" s="517">
        <f>'Pro 2'!K294</f>
        <v>0</v>
      </c>
      <c r="X7" s="517">
        <f>'Pro 2'!L294</f>
        <v>0</v>
      </c>
      <c r="Y7" s="509">
        <f>'Pro 2'!E295/1000</f>
        <v>0</v>
      </c>
      <c r="Z7" s="517">
        <f>'Pro 2'!F295/1000</f>
        <v>0</v>
      </c>
      <c r="AA7" s="517">
        <f>'Pro 2'!G295/1000</f>
        <v>0</v>
      </c>
      <c r="AB7" s="517">
        <f>'Pro 2'!H295/1000</f>
        <v>0</v>
      </c>
      <c r="AC7" s="517">
        <f>'Pro 2'!I295/1000</f>
        <v>0</v>
      </c>
      <c r="AD7" s="517">
        <f>'Pro 2'!J295/1000</f>
        <v>0</v>
      </c>
      <c r="AE7" s="517">
        <f>'Pro 2'!K295/1000</f>
        <v>0</v>
      </c>
      <c r="AF7" s="517">
        <f>'Pro 2'!L295/1000</f>
        <v>0</v>
      </c>
      <c r="AG7" s="519">
        <f t="shared" si="1"/>
        <v>0</v>
      </c>
      <c r="AH7" s="520">
        <f t="shared" si="1"/>
        <v>0</v>
      </c>
      <c r="AI7" s="520">
        <f t="shared" si="1"/>
        <v>0</v>
      </c>
      <c r="AJ7" s="520">
        <f t="shared" si="1"/>
        <v>0</v>
      </c>
      <c r="AK7" s="520">
        <f t="shared" si="1"/>
        <v>0</v>
      </c>
      <c r="AL7" s="520">
        <f t="shared" si="1"/>
        <v>0</v>
      </c>
      <c r="AM7" s="520">
        <f t="shared" si="1"/>
        <v>0</v>
      </c>
      <c r="AN7" s="521">
        <f t="shared" si="1"/>
        <v>0</v>
      </c>
    </row>
    <row r="8" spans="1:40" x14ac:dyDescent="0.25">
      <c r="A8" s="522">
        <f t="shared" si="2"/>
        <v>0</v>
      </c>
      <c r="B8" s="522">
        <f t="shared" si="6"/>
        <v>0</v>
      </c>
      <c r="C8" s="522" t="str">
        <f t="shared" si="4"/>
        <v>1 - Producer</v>
      </c>
      <c r="D8" s="522" t="str">
        <f t="shared" si="3"/>
        <v>DOM</v>
      </c>
      <c r="E8" s="523"/>
      <c r="F8" s="523"/>
      <c r="G8" s="522"/>
      <c r="H8" s="522" t="str">
        <f t="shared" si="5"/>
        <v>A - DOM</v>
      </c>
      <c r="I8" s="522" t="s">
        <v>493</v>
      </c>
      <c r="J8" s="522" t="s">
        <v>493</v>
      </c>
      <c r="K8" s="522" t="s">
        <v>493</v>
      </c>
      <c r="L8" s="522" t="s">
        <v>492</v>
      </c>
      <c r="M8" s="522" t="s">
        <v>493</v>
      </c>
      <c r="N8" s="522" t="s">
        <v>1022</v>
      </c>
      <c r="O8" s="522" t="s">
        <v>1004</v>
      </c>
      <c r="P8" s="524" t="s">
        <v>495</v>
      </c>
      <c r="Q8" s="517">
        <f>'Pro 2'!E299</f>
        <v>0</v>
      </c>
      <c r="R8" s="517">
        <f>'Pro 2'!F299</f>
        <v>0</v>
      </c>
      <c r="S8" s="517">
        <f>'Pro 2'!G299</f>
        <v>0</v>
      </c>
      <c r="T8" s="517">
        <f>'Pro 2'!H299</f>
        <v>0</v>
      </c>
      <c r="U8" s="517">
        <f>'Pro 2'!I299</f>
        <v>0</v>
      </c>
      <c r="V8" s="517">
        <f>'Pro 2'!J299</f>
        <v>0</v>
      </c>
      <c r="W8" s="517">
        <f>'Pro 2'!K299</f>
        <v>0</v>
      </c>
      <c r="X8" s="517">
        <f>'Pro 2'!L299</f>
        <v>0</v>
      </c>
      <c r="Y8" s="509">
        <f>'Pro 2'!E300/1000</f>
        <v>0</v>
      </c>
      <c r="Z8" s="517">
        <f>'Pro 2'!F300/1000</f>
        <v>0</v>
      </c>
      <c r="AA8" s="517">
        <f>'Pro 2'!G300/1000</f>
        <v>0</v>
      </c>
      <c r="AB8" s="517">
        <f>'Pro 2'!H300/1000</f>
        <v>0</v>
      </c>
      <c r="AC8" s="517">
        <f>'Pro 2'!I300/1000</f>
        <v>0</v>
      </c>
      <c r="AD8" s="517">
        <f>'Pro 2'!J300/1000</f>
        <v>0</v>
      </c>
      <c r="AE8" s="517">
        <f>'Pro 2'!K300/1000</f>
        <v>0</v>
      </c>
      <c r="AF8" s="517">
        <f>'Pro 2'!L300/1000</f>
        <v>0</v>
      </c>
      <c r="AG8" s="525">
        <f t="shared" si="1"/>
        <v>0</v>
      </c>
      <c r="AH8" s="526">
        <f t="shared" si="1"/>
        <v>0</v>
      </c>
      <c r="AI8" s="526">
        <f t="shared" si="1"/>
        <v>0</v>
      </c>
      <c r="AJ8" s="526">
        <f t="shared" si="1"/>
        <v>0</v>
      </c>
      <c r="AK8" s="526">
        <f t="shared" si="1"/>
        <v>0</v>
      </c>
      <c r="AL8" s="526">
        <f t="shared" si="1"/>
        <v>0</v>
      </c>
      <c r="AM8" s="526">
        <f t="shared" si="1"/>
        <v>0</v>
      </c>
      <c r="AN8" s="527">
        <f t="shared" si="1"/>
        <v>0</v>
      </c>
    </row>
    <row r="9" spans="1:40" x14ac:dyDescent="0.25">
      <c r="A9" s="513">
        <f t="shared" si="2"/>
        <v>0</v>
      </c>
      <c r="B9" s="513">
        <f t="shared" si="6"/>
        <v>0</v>
      </c>
      <c r="C9" s="513" t="str">
        <f t="shared" si="4"/>
        <v>1 - Producer</v>
      </c>
      <c r="D9" s="513" t="str">
        <f t="shared" si="3"/>
        <v>DOM</v>
      </c>
      <c r="E9" s="514"/>
      <c r="F9" s="514"/>
      <c r="G9" s="515"/>
      <c r="H9" s="513" t="str">
        <f t="shared" si="5"/>
        <v>A - DOM</v>
      </c>
      <c r="I9" s="513" t="s">
        <v>493</v>
      </c>
      <c r="J9" s="513" t="s">
        <v>493</v>
      </c>
      <c r="K9" s="513" t="s">
        <v>493</v>
      </c>
      <c r="L9" s="513" t="s">
        <v>492</v>
      </c>
      <c r="M9" s="513" t="s">
        <v>493</v>
      </c>
      <c r="N9" s="513" t="s">
        <v>1023</v>
      </c>
      <c r="O9" s="513" t="s">
        <v>1005</v>
      </c>
      <c r="P9" s="516" t="s">
        <v>495</v>
      </c>
      <c r="Q9" s="517">
        <f>'Pro 2'!E304</f>
        <v>0</v>
      </c>
      <c r="R9" s="517">
        <f>'Pro 2'!F304</f>
        <v>0</v>
      </c>
      <c r="S9" s="517">
        <f>'Pro 2'!G304</f>
        <v>0</v>
      </c>
      <c r="T9" s="517">
        <f>'Pro 2'!H304</f>
        <v>0</v>
      </c>
      <c r="U9" s="517">
        <f>'Pro 2'!I304</f>
        <v>0</v>
      </c>
      <c r="V9" s="517">
        <f>'Pro 2'!J304</f>
        <v>0</v>
      </c>
      <c r="W9" s="517">
        <f>'Pro 2'!K304</f>
        <v>0</v>
      </c>
      <c r="X9" s="517">
        <f>'Pro 2'!L304</f>
        <v>0</v>
      </c>
      <c r="Y9" s="509">
        <f>'Pro 2'!E305/1000</f>
        <v>0</v>
      </c>
      <c r="Z9" s="517">
        <f>'Pro 2'!F305/1000</f>
        <v>0</v>
      </c>
      <c r="AA9" s="517">
        <f>'Pro 2'!G305/1000</f>
        <v>0</v>
      </c>
      <c r="AB9" s="517">
        <f>'Pro 2'!H305/1000</f>
        <v>0</v>
      </c>
      <c r="AC9" s="517">
        <f>'Pro 2'!I305/1000</f>
        <v>0</v>
      </c>
      <c r="AD9" s="517">
        <f>'Pro 2'!J305/1000</f>
        <v>0</v>
      </c>
      <c r="AE9" s="517">
        <f>'Pro 2'!K305/1000</f>
        <v>0</v>
      </c>
      <c r="AF9" s="517">
        <f>'Pro 2'!L305/1000</f>
        <v>0</v>
      </c>
      <c r="AG9" s="519">
        <f t="shared" si="1"/>
        <v>0</v>
      </c>
      <c r="AH9" s="520">
        <f t="shared" si="1"/>
        <v>0</v>
      </c>
      <c r="AI9" s="520">
        <f t="shared" si="1"/>
        <v>0</v>
      </c>
      <c r="AJ9" s="520">
        <f t="shared" si="1"/>
        <v>0</v>
      </c>
      <c r="AK9" s="520">
        <f t="shared" si="1"/>
        <v>0</v>
      </c>
      <c r="AL9" s="520">
        <f t="shared" si="1"/>
        <v>0</v>
      </c>
      <c r="AM9" s="520">
        <f t="shared" si="1"/>
        <v>0</v>
      </c>
      <c r="AN9" s="521">
        <f t="shared" si="1"/>
        <v>0</v>
      </c>
    </row>
    <row r="10" spans="1:40" x14ac:dyDescent="0.25">
      <c r="A10" s="522">
        <f t="shared" si="2"/>
        <v>0</v>
      </c>
      <c r="B10" s="522">
        <f t="shared" si="6"/>
        <v>0</v>
      </c>
      <c r="C10" s="522" t="str">
        <f t="shared" si="4"/>
        <v>1 - Producer</v>
      </c>
      <c r="D10" s="522" t="str">
        <f t="shared" si="3"/>
        <v>DOM</v>
      </c>
      <c r="E10" s="523"/>
      <c r="F10" s="523"/>
      <c r="G10" s="522"/>
      <c r="H10" s="522" t="str">
        <f t="shared" si="5"/>
        <v>A - DOM</v>
      </c>
      <c r="I10" s="522" t="s">
        <v>493</v>
      </c>
      <c r="J10" s="522" t="s">
        <v>493</v>
      </c>
      <c r="K10" s="522" t="s">
        <v>493</v>
      </c>
      <c r="L10" s="522" t="s">
        <v>492</v>
      </c>
      <c r="M10" s="522" t="s">
        <v>493</v>
      </c>
      <c r="N10" s="522" t="s">
        <v>1024</v>
      </c>
      <c r="O10" s="522" t="s">
        <v>1006</v>
      </c>
      <c r="P10" s="524" t="s">
        <v>495</v>
      </c>
      <c r="Q10" s="517">
        <f>'Pro 2'!E309</f>
        <v>0</v>
      </c>
      <c r="R10" s="517">
        <f>'Pro 2'!F309</f>
        <v>0</v>
      </c>
      <c r="S10" s="517">
        <f>'Pro 2'!G309</f>
        <v>0</v>
      </c>
      <c r="T10" s="517">
        <f>'Pro 2'!H309</f>
        <v>0</v>
      </c>
      <c r="U10" s="517">
        <f>'Pro 2'!I309</f>
        <v>0</v>
      </c>
      <c r="V10" s="517">
        <f>'Pro 2'!J309</f>
        <v>0</v>
      </c>
      <c r="W10" s="517">
        <f>'Pro 2'!K309</f>
        <v>0</v>
      </c>
      <c r="X10" s="517">
        <f>'Pro 2'!L309</f>
        <v>0</v>
      </c>
      <c r="Y10" s="509">
        <f>'Pro 2'!E310/1000</f>
        <v>0</v>
      </c>
      <c r="Z10" s="517">
        <f>'Pro 2'!F310/1000</f>
        <v>0</v>
      </c>
      <c r="AA10" s="517">
        <f>'Pro 2'!G310/1000</f>
        <v>0</v>
      </c>
      <c r="AB10" s="517">
        <f>'Pro 2'!H310/1000</f>
        <v>0</v>
      </c>
      <c r="AC10" s="517">
        <f>'Pro 2'!I310/1000</f>
        <v>0</v>
      </c>
      <c r="AD10" s="517">
        <f>'Pro 2'!J310/1000</f>
        <v>0</v>
      </c>
      <c r="AE10" s="517">
        <f>'Pro 2'!K310/1000</f>
        <v>0</v>
      </c>
      <c r="AF10" s="517">
        <f>'Pro 2'!L310/1000</f>
        <v>0</v>
      </c>
      <c r="AG10" s="525">
        <f t="shared" si="1"/>
        <v>0</v>
      </c>
      <c r="AH10" s="526">
        <f t="shared" si="1"/>
        <v>0</v>
      </c>
      <c r="AI10" s="526">
        <f t="shared" si="1"/>
        <v>0</v>
      </c>
      <c r="AJ10" s="526">
        <f t="shared" si="1"/>
        <v>0</v>
      </c>
      <c r="AK10" s="526">
        <f t="shared" si="1"/>
        <v>0</v>
      </c>
      <c r="AL10" s="526">
        <f t="shared" si="1"/>
        <v>0</v>
      </c>
      <c r="AM10" s="526">
        <f t="shared" si="1"/>
        <v>0</v>
      </c>
      <c r="AN10" s="527">
        <f t="shared" si="1"/>
        <v>0</v>
      </c>
    </row>
    <row r="11" spans="1:40" x14ac:dyDescent="0.25">
      <c r="A11" s="522">
        <f t="shared" si="2"/>
        <v>0</v>
      </c>
      <c r="B11" s="522">
        <f t="shared" ref="B11" si="7">A11</f>
        <v>0</v>
      </c>
      <c r="C11" s="522" t="str">
        <f t="shared" si="4"/>
        <v>1 - Producer</v>
      </c>
      <c r="D11" s="522" t="str">
        <f t="shared" si="3"/>
        <v>DOM</v>
      </c>
      <c r="E11" s="523"/>
      <c r="F11" s="523"/>
      <c r="G11" s="522"/>
      <c r="H11" s="522" t="str">
        <f t="shared" si="5"/>
        <v>A - DOM</v>
      </c>
      <c r="I11" s="522" t="s">
        <v>493</v>
      </c>
      <c r="J11" s="522" t="s">
        <v>493</v>
      </c>
      <c r="K11" s="522" t="s">
        <v>493</v>
      </c>
      <c r="L11" s="522" t="s">
        <v>492</v>
      </c>
      <c r="M11" s="522" t="s">
        <v>493</v>
      </c>
      <c r="N11" s="522" t="s">
        <v>1024</v>
      </c>
      <c r="O11" s="522" t="s">
        <v>1007</v>
      </c>
      <c r="P11" s="524" t="s">
        <v>495</v>
      </c>
      <c r="Q11" s="517">
        <f>'Pro 2'!E314</f>
        <v>0</v>
      </c>
      <c r="R11" s="517">
        <f>'Pro 2'!F314</f>
        <v>0</v>
      </c>
      <c r="S11" s="517">
        <f>'Pro 2'!G314</f>
        <v>0</v>
      </c>
      <c r="T11" s="517">
        <f>'Pro 2'!H314</f>
        <v>0</v>
      </c>
      <c r="U11" s="517">
        <f>'Pro 2'!I314</f>
        <v>0</v>
      </c>
      <c r="V11" s="517">
        <f>'Pro 2'!J314</f>
        <v>0</v>
      </c>
      <c r="W11" s="517">
        <f>'Pro 2'!K314</f>
        <v>0</v>
      </c>
      <c r="X11" s="517">
        <f>'Pro 2'!L314</f>
        <v>0</v>
      </c>
      <c r="Y11" s="509">
        <f>'Pro 2'!E315/1000</f>
        <v>0</v>
      </c>
      <c r="Z11" s="517">
        <f>'Pro 2'!F315/1000</f>
        <v>0</v>
      </c>
      <c r="AA11" s="517">
        <f>'Pro 2'!G315/1000</f>
        <v>0</v>
      </c>
      <c r="AB11" s="517">
        <f>'Pro 2'!H315/1000</f>
        <v>0</v>
      </c>
      <c r="AC11" s="517">
        <f>'Pro 2'!I315/1000</f>
        <v>0</v>
      </c>
      <c r="AD11" s="517">
        <f>'Pro 2'!J315/1000</f>
        <v>0</v>
      </c>
      <c r="AE11" s="517">
        <f>'Pro 2'!K315/1000</f>
        <v>0</v>
      </c>
      <c r="AF11" s="517">
        <f>'Pro 2'!L315/1000</f>
        <v>0</v>
      </c>
      <c r="AG11" s="525">
        <f t="shared" ref="AG11" si="8">IF(ISERROR(Y11/Q11),0,Y11/Q11)*1000</f>
        <v>0</v>
      </c>
      <c r="AH11" s="526">
        <f t="shared" ref="AH11" si="9">IF(ISERROR(Z11/R11),0,Z11/R11)*1000</f>
        <v>0</v>
      </c>
      <c r="AI11" s="526">
        <f t="shared" ref="AI11" si="10">IF(ISERROR(AA11/S11),0,AA11/S11)*1000</f>
        <v>0</v>
      </c>
      <c r="AJ11" s="526">
        <f t="shared" ref="AJ11" si="11">IF(ISERROR(AB11/T11),0,AB11/T11)*1000</f>
        <v>0</v>
      </c>
      <c r="AK11" s="526">
        <f t="shared" ref="AK11" si="12">IF(ISERROR(AC11/U11),0,AC11/U11)*1000</f>
        <v>0</v>
      </c>
      <c r="AL11" s="526">
        <f t="shared" ref="AL11" si="13">IF(ISERROR(AD11/V11),0,AD11/V11)*1000</f>
        <v>0</v>
      </c>
      <c r="AM11" s="526">
        <f t="shared" ref="AM11" si="14">IF(ISERROR(AE11/W11),0,AE11/W11)*1000</f>
        <v>0</v>
      </c>
      <c r="AN11" s="527">
        <f t="shared" ref="AN11" si="15">IF(ISERROR(AF11/X11),0,AF11/X11)*1000</f>
        <v>0</v>
      </c>
    </row>
    <row r="12" spans="1:40" x14ac:dyDescent="0.25">
      <c r="A12" s="513">
        <f>A10</f>
        <v>0</v>
      </c>
      <c r="B12" s="513">
        <f t="shared" si="6"/>
        <v>0</v>
      </c>
      <c r="C12" s="513" t="str">
        <f>C10</f>
        <v>1 - Producer</v>
      </c>
      <c r="D12" s="513" t="str">
        <f>D10</f>
        <v>DOM</v>
      </c>
      <c r="E12" s="514"/>
      <c r="F12" s="514"/>
      <c r="G12" s="515"/>
      <c r="H12" s="513" t="str">
        <f>H10</f>
        <v>A - DOM</v>
      </c>
      <c r="I12" s="513" t="s">
        <v>493</v>
      </c>
      <c r="J12" s="513" t="s">
        <v>493</v>
      </c>
      <c r="K12" s="513" t="s">
        <v>493</v>
      </c>
      <c r="L12" s="513" t="s">
        <v>492</v>
      </c>
      <c r="M12" s="513" t="s">
        <v>493</v>
      </c>
      <c r="N12" s="513" t="s">
        <v>1025</v>
      </c>
      <c r="O12" s="513" t="s">
        <v>1027</v>
      </c>
      <c r="P12" s="516" t="s">
        <v>495</v>
      </c>
      <c r="Q12" s="517">
        <f>'Pro 2'!E319</f>
        <v>0</v>
      </c>
      <c r="R12" s="517">
        <f>'Pro 2'!F319</f>
        <v>0</v>
      </c>
      <c r="S12" s="517">
        <f>'Pro 2'!G319</f>
        <v>0</v>
      </c>
      <c r="T12" s="517">
        <f>'Pro 2'!H319</f>
        <v>0</v>
      </c>
      <c r="U12" s="517">
        <f>'Pro 2'!I319</f>
        <v>0</v>
      </c>
      <c r="V12" s="517">
        <f>'Pro 2'!J319</f>
        <v>0</v>
      </c>
      <c r="W12" s="517">
        <f>'Pro 2'!K319</f>
        <v>0</v>
      </c>
      <c r="X12" s="517">
        <f>'Pro 2'!L319</f>
        <v>0</v>
      </c>
      <c r="Y12" s="509">
        <f>'Pro 2'!E320/1000</f>
        <v>0</v>
      </c>
      <c r="Z12" s="517">
        <f>'Pro 2'!F320/1000</f>
        <v>0</v>
      </c>
      <c r="AA12" s="517">
        <f>'Pro 2'!G320/1000</f>
        <v>0</v>
      </c>
      <c r="AB12" s="517">
        <f>'Pro 2'!H320/1000</f>
        <v>0</v>
      </c>
      <c r="AC12" s="517">
        <f>'Pro 2'!I320/1000</f>
        <v>0</v>
      </c>
      <c r="AD12" s="517">
        <f>'Pro 2'!J320/1000</f>
        <v>0</v>
      </c>
      <c r="AE12" s="517">
        <f>'Pro 2'!K320/1000</f>
        <v>0</v>
      </c>
      <c r="AF12" s="517">
        <f>'Pro 2'!L320/1000</f>
        <v>0</v>
      </c>
      <c r="AG12" s="519">
        <f t="shared" si="1"/>
        <v>0</v>
      </c>
      <c r="AH12" s="520">
        <f t="shared" si="1"/>
        <v>0</v>
      </c>
      <c r="AI12" s="520">
        <f t="shared" si="1"/>
        <v>0</v>
      </c>
      <c r="AJ12" s="520">
        <f t="shared" si="1"/>
        <v>0</v>
      </c>
      <c r="AK12" s="520">
        <f t="shared" si="1"/>
        <v>0</v>
      </c>
      <c r="AL12" s="520">
        <f t="shared" si="1"/>
        <v>0</v>
      </c>
      <c r="AM12" s="520">
        <f t="shared" si="1"/>
        <v>0</v>
      </c>
      <c r="AN12" s="521">
        <f t="shared" si="1"/>
        <v>0</v>
      </c>
    </row>
  </sheetData>
  <sheetProtection algorithmName="SHA-512" hashValue="W1CqzfGZL1oKWtx44qMFhtKCHgCIWQ9xvUGTbT7jBYKVgWB5lOEKy87Jt3LxzhW8iWl92M2V2EH4Ogwf6PahHQ==" saltValue="gLSUij1q9DQskIBMBS5xZQ==" spinCount="100000" sheet="1" objects="1" scenarios="1" selectLockedCells="1"/>
  <phoneticPr fontId="18" type="noConversion"/>
  <dataValidations count="4">
    <dataValidation type="list" allowBlank="1" showInputMessage="1" showErrorMessage="1" sqref="D4:D12" xr:uid="{7762850C-3CF9-4F1D-814C-233C29C2BE0C}">
      <formula1>$D$1:$D$3</formula1>
    </dataValidation>
    <dataValidation type="list" allowBlank="1" showInputMessage="1" showErrorMessage="1" sqref="O4:O12" xr:uid="{4E45FEF9-35E2-479F-9A91-AE085C0EA969}">
      <formula1>$O$1:$O$12</formula1>
    </dataValidation>
    <dataValidation type="list" allowBlank="1" showInputMessage="1" showErrorMessage="1" sqref="P4:P12" xr:uid="{150602A3-7CE3-4406-9DBC-F2D9BC1E9C9D}">
      <formula1>$P$1:$P$5</formula1>
    </dataValidation>
    <dataValidation type="list" allowBlank="1" showInputMessage="1" showErrorMessage="1" sqref="L4" xr:uid="{8B4D3D79-EBAA-480D-877F-752BD37B5536}">
      <formula1>$K$1:$K$12</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FC1F8-1006-4FDE-A3DA-A0DD0DDB5F61}">
  <sheetPr>
    <tabColor rgb="FFFF0000"/>
  </sheetPr>
  <dimension ref="A2:O9"/>
  <sheetViews>
    <sheetView workbookViewId="0">
      <selection activeCell="I37" sqref="I37"/>
    </sheetView>
  </sheetViews>
  <sheetFormatPr defaultRowHeight="15" x14ac:dyDescent="0.25"/>
  <cols>
    <col min="1" max="1" width="27.5703125" customWidth="1"/>
    <col min="2" max="2" width="15.7109375" customWidth="1"/>
    <col min="3" max="3" width="15.5703125" bestFit="1" customWidth="1"/>
    <col min="4" max="4" width="7.5703125" customWidth="1"/>
    <col min="5" max="5" width="72.7109375" customWidth="1"/>
    <col min="6" max="15" width="10.5703125" customWidth="1"/>
  </cols>
  <sheetData>
    <row r="2" spans="1:15" ht="15.75" thickBot="1" x14ac:dyDescent="0.3"/>
    <row r="3" spans="1:15" ht="15.75" thickBot="1" x14ac:dyDescent="0.3">
      <c r="F3" s="1024" t="s">
        <v>528</v>
      </c>
      <c r="G3" s="1025"/>
      <c r="H3" s="1025"/>
      <c r="I3" s="1025"/>
      <c r="J3" s="1025"/>
      <c r="K3" s="1026" t="s">
        <v>1008</v>
      </c>
      <c r="L3" s="1027"/>
      <c r="M3" s="1027"/>
      <c r="N3" s="1027"/>
      <c r="O3" s="1027"/>
    </row>
    <row r="4" spans="1:15" x14ac:dyDescent="0.25">
      <c r="A4" s="528" t="s">
        <v>475</v>
      </c>
      <c r="B4" s="120" t="s">
        <v>499</v>
      </c>
      <c r="C4" s="120" t="s">
        <v>500</v>
      </c>
      <c r="D4" s="120" t="s">
        <v>501</v>
      </c>
      <c r="E4" s="120" t="s">
        <v>502</v>
      </c>
      <c r="F4" s="121">
        <v>2022</v>
      </c>
      <c r="G4" s="121">
        <v>2023</v>
      </c>
      <c r="H4" s="121">
        <v>2024</v>
      </c>
      <c r="I4" s="529" t="s">
        <v>901</v>
      </c>
      <c r="J4" s="529" t="s">
        <v>1009</v>
      </c>
      <c r="K4" s="121">
        <f>F4</f>
        <v>2022</v>
      </c>
      <c r="L4" s="121">
        <f t="shared" ref="L4:O4" si="0">G4</f>
        <v>2023</v>
      </c>
      <c r="M4" s="121">
        <f t="shared" si="0"/>
        <v>2024</v>
      </c>
      <c r="N4" s="121" t="str">
        <f t="shared" si="0"/>
        <v>I 2024</v>
      </c>
      <c r="O4" s="121" t="str">
        <f t="shared" si="0"/>
        <v>I 2025</v>
      </c>
    </row>
    <row r="5" spans="1:15" x14ac:dyDescent="0.25">
      <c r="A5" s="530">
        <f>Intro!E101</f>
        <v>0</v>
      </c>
      <c r="B5" s="124" t="s">
        <v>1010</v>
      </c>
      <c r="C5" s="124" t="s">
        <v>434</v>
      </c>
      <c r="D5" s="124" t="s">
        <v>503</v>
      </c>
      <c r="E5" s="68" t="s">
        <v>504</v>
      </c>
      <c r="F5" s="531">
        <f>'Pro 2'!G$37*K5</f>
        <v>0</v>
      </c>
      <c r="G5" s="531">
        <f>'Pro 2'!H$37*L5</f>
        <v>0</v>
      </c>
      <c r="H5" s="531">
        <f>'Pro 2'!I$37*M5</f>
        <v>0</v>
      </c>
      <c r="I5" s="531">
        <f>'Pro 2'!J$37*N5</f>
        <v>0</v>
      </c>
      <c r="J5" s="531">
        <f>'Pro 2'!K$37*O5</f>
        <v>0</v>
      </c>
      <c r="K5" s="532">
        <f>'Pro 2'!G209/100</f>
        <v>0</v>
      </c>
      <c r="L5" s="532">
        <f>'Pro 2'!H209/100</f>
        <v>0</v>
      </c>
      <c r="M5" s="532">
        <f>'Pro 2'!I209/100</f>
        <v>0</v>
      </c>
      <c r="N5" s="532">
        <f>'Pro 2'!J209/100</f>
        <v>0</v>
      </c>
      <c r="O5" s="533">
        <f>'Pro 2'!K209/100</f>
        <v>0</v>
      </c>
    </row>
    <row r="6" spans="1:15" x14ac:dyDescent="0.25">
      <c r="A6" s="534">
        <f>A5</f>
        <v>0</v>
      </c>
      <c r="B6" s="126" t="str">
        <f t="shared" ref="B6:C9" si="1">B5</f>
        <v>Producer</v>
      </c>
      <c r="C6" s="126" t="str">
        <f t="shared" si="1"/>
        <v>Domestic Sales</v>
      </c>
      <c r="D6" s="126" t="s">
        <v>505</v>
      </c>
      <c r="E6" s="69" t="s">
        <v>506</v>
      </c>
      <c r="F6" s="531">
        <f>'Pro 2'!G$37*K6</f>
        <v>0</v>
      </c>
      <c r="G6" s="531">
        <f>'Pro 2'!H$37*L6</f>
        <v>0</v>
      </c>
      <c r="H6" s="531">
        <f>'Pro 2'!I$37*M6</f>
        <v>0</v>
      </c>
      <c r="I6" s="531">
        <f>'Pro 2'!J$37*N6</f>
        <v>0</v>
      </c>
      <c r="J6" s="531">
        <f>'Pro 2'!K$37*O6</f>
        <v>0</v>
      </c>
      <c r="K6" s="532">
        <f>'Pro 2'!G210/100</f>
        <v>0</v>
      </c>
      <c r="L6" s="532">
        <f>'Pro 2'!H210/100</f>
        <v>0</v>
      </c>
      <c r="M6" s="532">
        <f>'Pro 2'!I210/100</f>
        <v>0</v>
      </c>
      <c r="N6" s="532">
        <f>'Pro 2'!J210/100</f>
        <v>0</v>
      </c>
      <c r="O6" s="533">
        <f>'Pro 2'!K210/100</f>
        <v>0</v>
      </c>
    </row>
    <row r="7" spans="1:15" x14ac:dyDescent="0.25">
      <c r="A7" s="534">
        <f t="shared" ref="A7:A9" si="2">A6</f>
        <v>0</v>
      </c>
      <c r="B7" s="126" t="str">
        <f t="shared" si="1"/>
        <v>Producer</v>
      </c>
      <c r="C7" s="126" t="str">
        <f t="shared" si="1"/>
        <v>Domestic Sales</v>
      </c>
      <c r="D7" s="126" t="s">
        <v>507</v>
      </c>
      <c r="E7" s="69" t="s">
        <v>508</v>
      </c>
      <c r="F7" s="531">
        <f>'Pro 2'!G$37*K7</f>
        <v>0</v>
      </c>
      <c r="G7" s="531">
        <f>'Pro 2'!H$37*L7</f>
        <v>0</v>
      </c>
      <c r="H7" s="531">
        <f>'Pro 2'!I$37*M7</f>
        <v>0</v>
      </c>
      <c r="I7" s="531">
        <f>'Pro 2'!J$37*N7</f>
        <v>0</v>
      </c>
      <c r="J7" s="531">
        <f>'Pro 2'!K$37*O7</f>
        <v>0</v>
      </c>
      <c r="K7" s="532">
        <f>'Pro 2'!G211/100</f>
        <v>0</v>
      </c>
      <c r="L7" s="532">
        <f>'Pro 2'!H211/100</f>
        <v>0</v>
      </c>
      <c r="M7" s="532">
        <f>'Pro 2'!I211/100</f>
        <v>0</v>
      </c>
      <c r="N7" s="532">
        <f>'Pro 2'!J211/100</f>
        <v>0</v>
      </c>
      <c r="O7" s="533">
        <f>'Pro 2'!K211/100</f>
        <v>0</v>
      </c>
    </row>
    <row r="8" spans="1:15" x14ac:dyDescent="0.25">
      <c r="A8" s="534">
        <f t="shared" si="2"/>
        <v>0</v>
      </c>
      <c r="B8" s="126" t="str">
        <f t="shared" si="1"/>
        <v>Producer</v>
      </c>
      <c r="C8" s="126" t="str">
        <f t="shared" si="1"/>
        <v>Domestic Sales</v>
      </c>
      <c r="D8" s="126" t="s">
        <v>509</v>
      </c>
      <c r="E8" s="69" t="s">
        <v>510</v>
      </c>
      <c r="F8" s="531">
        <f>'Pro 2'!G$37*K8</f>
        <v>0</v>
      </c>
      <c r="G8" s="531">
        <f>'Pro 2'!H$37*L8</f>
        <v>0</v>
      </c>
      <c r="H8" s="531">
        <f>'Pro 2'!I$37*M8</f>
        <v>0</v>
      </c>
      <c r="I8" s="531">
        <f>'Pro 2'!J$37*N8</f>
        <v>0</v>
      </c>
      <c r="J8" s="531">
        <f>'Pro 2'!K$37*O8</f>
        <v>0</v>
      </c>
      <c r="K8" s="532">
        <f>'Pro 2'!G212/100</f>
        <v>0</v>
      </c>
      <c r="L8" s="532">
        <f>'Pro 2'!H212/100</f>
        <v>0</v>
      </c>
      <c r="M8" s="532">
        <f>'Pro 2'!I212/100</f>
        <v>0</v>
      </c>
      <c r="N8" s="532">
        <f>'Pro 2'!J212/100</f>
        <v>0</v>
      </c>
      <c r="O8" s="533">
        <f>'Pro 2'!K212/100</f>
        <v>0</v>
      </c>
    </row>
    <row r="9" spans="1:15" x14ac:dyDescent="0.25">
      <c r="A9" s="534">
        <f t="shared" si="2"/>
        <v>0</v>
      </c>
      <c r="B9" s="126" t="str">
        <f t="shared" si="1"/>
        <v>Producer</v>
      </c>
      <c r="C9" s="126" t="str">
        <f t="shared" si="1"/>
        <v>Domestic Sales</v>
      </c>
      <c r="D9" s="126" t="s">
        <v>511</v>
      </c>
      <c r="E9" s="69" t="s">
        <v>512</v>
      </c>
      <c r="F9" s="531">
        <f>'Pro 2'!G$37*K9</f>
        <v>0</v>
      </c>
      <c r="G9" s="531">
        <f>'Pro 2'!H$37*L9</f>
        <v>0</v>
      </c>
      <c r="H9" s="531">
        <f>'Pro 2'!I$37*M9</f>
        <v>0</v>
      </c>
      <c r="I9" s="531">
        <f>'Pro 2'!J$37*N9</f>
        <v>0</v>
      </c>
      <c r="J9" s="531">
        <f>'Pro 2'!K$37*O9</f>
        <v>0</v>
      </c>
      <c r="K9" s="532">
        <f>'Pro 2'!G213/100</f>
        <v>0</v>
      </c>
      <c r="L9" s="532">
        <f>'Pro 2'!H213/100</f>
        <v>0</v>
      </c>
      <c r="M9" s="532">
        <f>'Pro 2'!I213/100</f>
        <v>0</v>
      </c>
      <c r="N9" s="532">
        <f>'Pro 2'!J213/100</f>
        <v>0</v>
      </c>
      <c r="O9" s="533">
        <f>'Pro 2'!K213/100</f>
        <v>0</v>
      </c>
    </row>
  </sheetData>
  <sheetProtection algorithmName="SHA-512" hashValue="XQimFVUiQOZb4ITQahDEmonFDeHTFjYzA2wY16oACXSC6yOKlJ/Tl7MD3dzT7xdDSNIOyFfltgHbaJz+Q6qc4A==" saltValue="2WWXn4XLQnAqVLaxsD5pyA==" spinCount="100000" sheet="1" objects="1" scenarios="1" selectLockedCells="1"/>
  <mergeCells count="2">
    <mergeCell ref="F3:J3"/>
    <mergeCell ref="K3:O3"/>
  </mergeCells>
  <dataValidations count="3">
    <dataValidation type="list" allowBlank="1" showInputMessage="1" showErrorMessage="1" sqref="C5:C8" xr:uid="{A5D5CBF3-A0BB-410E-AD48-F2F282B1A36E}">
      <formula1>$C$1:$C$6</formula1>
    </dataValidation>
    <dataValidation type="list" allowBlank="1" showInputMessage="1" showErrorMessage="1" sqref="B5" xr:uid="{AA840BB8-97F8-4FD5-8C17-CFC85055487A}">
      <formula1>$B$1:$B$3</formula1>
    </dataValidation>
    <dataValidation type="list" allowBlank="1" showInputMessage="1" showErrorMessage="1" sqref="D5:D8" xr:uid="{9730EFA4-01F6-480C-BFFA-E00BD861DFEB}">
      <formula1>$D$1:$D$8</formula1>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09BAE-CD50-4ADC-928C-B1AA10C5DEF4}">
  <sheetPr>
    <tabColor rgb="FFFF0000"/>
  </sheetPr>
  <dimension ref="A4:AN9"/>
  <sheetViews>
    <sheetView workbookViewId="0">
      <selection activeCell="A6" sqref="A6"/>
    </sheetView>
  </sheetViews>
  <sheetFormatPr defaultRowHeight="15" x14ac:dyDescent="0.25"/>
  <cols>
    <col min="1" max="1" width="27.7109375" customWidth="1"/>
    <col min="2" max="2" width="36.28515625" bestFit="1" customWidth="1"/>
    <col min="3" max="3" width="27" customWidth="1"/>
    <col min="4" max="4" width="26.7109375" bestFit="1" customWidth="1"/>
    <col min="5" max="5" width="13.7109375" bestFit="1" customWidth="1"/>
    <col min="6" max="6" width="10.28515625" customWidth="1"/>
    <col min="7" max="7" width="22.7109375" customWidth="1"/>
    <col min="8" max="8" width="27.28515625" bestFit="1" customWidth="1"/>
    <col min="9" max="13" width="8.7109375" customWidth="1"/>
  </cols>
  <sheetData>
    <row r="4" spans="1:40" ht="26.25" x14ac:dyDescent="0.25">
      <c r="A4" s="499" t="s">
        <v>475</v>
      </c>
      <c r="B4" s="321" t="s">
        <v>905</v>
      </c>
      <c r="C4" s="499" t="s">
        <v>476</v>
      </c>
      <c r="D4" s="535" t="s">
        <v>995</v>
      </c>
      <c r="E4" s="536" t="s">
        <v>907</v>
      </c>
      <c r="F4" s="536" t="s">
        <v>908</v>
      </c>
      <c r="G4" s="499" t="s">
        <v>479</v>
      </c>
      <c r="H4" s="499" t="s">
        <v>480</v>
      </c>
      <c r="I4" s="537" t="s">
        <v>909</v>
      </c>
      <c r="J4" s="499" t="s">
        <v>481</v>
      </c>
      <c r="K4" s="503" t="s">
        <v>910</v>
      </c>
      <c r="L4" s="503" t="s">
        <v>538</v>
      </c>
      <c r="M4" s="499" t="s">
        <v>513</v>
      </c>
      <c r="N4" s="503" t="s">
        <v>514</v>
      </c>
      <c r="O4" s="499" t="s">
        <v>515</v>
      </c>
      <c r="P4" s="538" t="s">
        <v>483</v>
      </c>
      <c r="Q4" s="539" t="s">
        <v>549</v>
      </c>
      <c r="R4" s="539" t="s">
        <v>550</v>
      </c>
      <c r="S4" s="539" t="s">
        <v>551</v>
      </c>
      <c r="T4" s="539" t="s">
        <v>552</v>
      </c>
      <c r="U4" s="539" t="s">
        <v>553</v>
      </c>
      <c r="V4" s="539" t="s">
        <v>998</v>
      </c>
      <c r="W4" s="540" t="s">
        <v>999</v>
      </c>
      <c r="X4" s="540" t="s">
        <v>1011</v>
      </c>
      <c r="Y4" s="539" t="s">
        <v>549</v>
      </c>
      <c r="Z4" s="539" t="s">
        <v>550</v>
      </c>
      <c r="AA4" s="539" t="s">
        <v>551</v>
      </c>
      <c r="AB4" s="539" t="s">
        <v>552</v>
      </c>
      <c r="AC4" s="539" t="s">
        <v>553</v>
      </c>
      <c r="AD4" s="539" t="s">
        <v>998</v>
      </c>
      <c r="AE4" s="540" t="s">
        <v>999</v>
      </c>
      <c r="AF4" s="540" t="s">
        <v>1011</v>
      </c>
      <c r="AG4" s="539" t="s">
        <v>549</v>
      </c>
      <c r="AH4" s="539" t="s">
        <v>550</v>
      </c>
      <c r="AI4" s="539" t="s">
        <v>551</v>
      </c>
      <c r="AJ4" s="539" t="s">
        <v>552</v>
      </c>
      <c r="AK4" s="539" t="s">
        <v>553</v>
      </c>
      <c r="AL4" s="539" t="s">
        <v>998</v>
      </c>
      <c r="AM4" s="540" t="s">
        <v>999</v>
      </c>
      <c r="AN4" s="540" t="s">
        <v>1011</v>
      </c>
    </row>
    <row r="5" spans="1:40" x14ac:dyDescent="0.25">
      <c r="A5" s="541">
        <f>Intro!E101</f>
        <v>0</v>
      </c>
      <c r="B5" s="542">
        <f>A5</f>
        <v>0</v>
      </c>
      <c r="C5" s="542" t="s">
        <v>491</v>
      </c>
      <c r="D5" s="543"/>
      <c r="E5" s="543"/>
      <c r="F5" s="544"/>
      <c r="G5" s="542" t="s">
        <v>516</v>
      </c>
      <c r="H5" s="542" t="s">
        <v>493</v>
      </c>
      <c r="I5" s="542" t="s">
        <v>493</v>
      </c>
      <c r="J5" s="542" t="s">
        <v>493</v>
      </c>
      <c r="K5" s="542"/>
      <c r="L5" s="542" t="s">
        <v>493</v>
      </c>
      <c r="M5" s="545" t="s">
        <v>517</v>
      </c>
      <c r="N5" s="541">
        <f>'Pro 2'!C222</f>
        <v>0</v>
      </c>
      <c r="O5" s="542" t="e">
        <v>#N/A</v>
      </c>
      <c r="P5" s="546" t="s">
        <v>494</v>
      </c>
      <c r="Q5" s="547">
        <f>'Pro 2'!E234</f>
        <v>0</v>
      </c>
      <c r="R5" s="547">
        <f>'Pro 2'!F234</f>
        <v>0</v>
      </c>
      <c r="S5" s="547">
        <f>'Pro 2'!G234</f>
        <v>0</v>
      </c>
      <c r="T5" s="547">
        <f>'Pro 2'!H234</f>
        <v>0</v>
      </c>
      <c r="U5" s="547">
        <f>'Pro 2'!I234</f>
        <v>0</v>
      </c>
      <c r="V5" s="547">
        <f>'Pro 2'!J234</f>
        <v>0</v>
      </c>
      <c r="W5" s="547">
        <f>'Pro 2'!K234</f>
        <v>0</v>
      </c>
      <c r="X5" s="548">
        <f>'Pro 2'!L234</f>
        <v>0</v>
      </c>
      <c r="Y5" s="547">
        <f>'Pro 2'!E235/1000</f>
        <v>0</v>
      </c>
      <c r="Z5" s="547">
        <f>'Pro 2'!F235/1000</f>
        <v>0</v>
      </c>
      <c r="AA5" s="547">
        <f>'Pro 2'!G235/1000</f>
        <v>0</v>
      </c>
      <c r="AB5" s="547">
        <f>'Pro 2'!H235/1000</f>
        <v>0</v>
      </c>
      <c r="AC5" s="547">
        <f>'Pro 2'!I235/1000</f>
        <v>0</v>
      </c>
      <c r="AD5" s="547">
        <f>'Pro 2'!J235/1000</f>
        <v>0</v>
      </c>
      <c r="AE5" s="547">
        <f>'Pro 2'!K235/1000</f>
        <v>0</v>
      </c>
      <c r="AF5" s="548">
        <f>'Pro 2'!L235/1000</f>
        <v>0</v>
      </c>
      <c r="AG5" s="549">
        <f>IF(ISERROR(Y5/Q5),0,Y5/Q5)*1000</f>
        <v>0</v>
      </c>
      <c r="AH5" s="549">
        <f t="shared" ref="AG5:AN9" si="0">IF(ISERROR(Z5/R5),0,Z5/R5)*1000</f>
        <v>0</v>
      </c>
      <c r="AI5" s="549">
        <f t="shared" si="0"/>
        <v>0</v>
      </c>
      <c r="AJ5" s="549">
        <f t="shared" si="0"/>
        <v>0</v>
      </c>
      <c r="AK5" s="549">
        <f t="shared" si="0"/>
        <v>0</v>
      </c>
      <c r="AL5" s="549">
        <f t="shared" si="0"/>
        <v>0</v>
      </c>
      <c r="AM5" s="549">
        <f t="shared" si="0"/>
        <v>0</v>
      </c>
      <c r="AN5" s="550">
        <f t="shared" si="0"/>
        <v>0</v>
      </c>
    </row>
    <row r="6" spans="1:40" x14ac:dyDescent="0.25">
      <c r="A6" s="551">
        <f>A5</f>
        <v>0</v>
      </c>
      <c r="B6" s="551">
        <f>B5</f>
        <v>0</v>
      </c>
      <c r="C6" s="551" t="str">
        <f>C5</f>
        <v>1 - Producer</v>
      </c>
      <c r="D6" s="346"/>
      <c r="E6" s="346"/>
      <c r="F6" s="552"/>
      <c r="G6" s="551" t="str">
        <f>G5</f>
        <v>A - DOM</v>
      </c>
      <c r="H6" s="551" t="s">
        <v>493</v>
      </c>
      <c r="I6" s="551" t="s">
        <v>493</v>
      </c>
      <c r="J6" s="551" t="s">
        <v>493</v>
      </c>
      <c r="K6" s="551"/>
      <c r="L6" s="551" t="s">
        <v>493</v>
      </c>
      <c r="M6" s="553" t="s">
        <v>518</v>
      </c>
      <c r="N6" s="554">
        <f>'Pro 2'!C223</f>
        <v>0</v>
      </c>
      <c r="O6" s="551" t="e">
        <v>#N/A</v>
      </c>
      <c r="P6" s="555" t="str">
        <f t="shared" ref="P6:P9" si="1">P5</f>
        <v>Dom</v>
      </c>
      <c r="Q6" s="556">
        <f>'Pro 2'!E238</f>
        <v>0</v>
      </c>
      <c r="R6" s="556">
        <f>'Pro 2'!F238</f>
        <v>0</v>
      </c>
      <c r="S6" s="556">
        <f>'Pro 2'!G238</f>
        <v>0</v>
      </c>
      <c r="T6" s="556">
        <f>'Pro 2'!H238</f>
        <v>0</v>
      </c>
      <c r="U6" s="556">
        <f>'Pro 2'!I238</f>
        <v>0</v>
      </c>
      <c r="V6" s="556">
        <f>'Pro 2'!J238</f>
        <v>0</v>
      </c>
      <c r="W6" s="556">
        <f>'Pro 2'!K238</f>
        <v>0</v>
      </c>
      <c r="X6" s="557">
        <f>'Pro 2'!L238</f>
        <v>0</v>
      </c>
      <c r="Y6" s="556">
        <f>'Pro 2'!E239/1000</f>
        <v>0</v>
      </c>
      <c r="Z6" s="556">
        <f>'Pro 2'!F239/1000</f>
        <v>0</v>
      </c>
      <c r="AA6" s="556">
        <f>'Pro 2'!G239/1000</f>
        <v>0</v>
      </c>
      <c r="AB6" s="556">
        <f>'Pro 2'!H239/1000</f>
        <v>0</v>
      </c>
      <c r="AC6" s="556">
        <f>'Pro 2'!I239/1000</f>
        <v>0</v>
      </c>
      <c r="AD6" s="556">
        <f>'Pro 2'!J239/1000</f>
        <v>0</v>
      </c>
      <c r="AE6" s="556">
        <f>'Pro 2'!K239/1000</f>
        <v>0</v>
      </c>
      <c r="AF6" s="557">
        <f>'Pro 2'!L239/1000</f>
        <v>0</v>
      </c>
      <c r="AG6" s="558">
        <f t="shared" si="0"/>
        <v>0</v>
      </c>
      <c r="AH6" s="558">
        <f t="shared" si="0"/>
        <v>0</v>
      </c>
      <c r="AI6" s="558">
        <f t="shared" si="0"/>
        <v>0</v>
      </c>
      <c r="AJ6" s="558">
        <f t="shared" si="0"/>
        <v>0</v>
      </c>
      <c r="AK6" s="558">
        <f t="shared" si="0"/>
        <v>0</v>
      </c>
      <c r="AL6" s="558">
        <f t="shared" si="0"/>
        <v>0</v>
      </c>
      <c r="AM6" s="558">
        <f t="shared" si="0"/>
        <v>0</v>
      </c>
      <c r="AN6" s="521">
        <f t="shared" si="0"/>
        <v>0</v>
      </c>
    </row>
    <row r="7" spans="1:40" x14ac:dyDescent="0.25">
      <c r="A7" s="559">
        <f t="shared" ref="A7:C9" si="2">A6</f>
        <v>0</v>
      </c>
      <c r="B7" s="559">
        <f t="shared" si="2"/>
        <v>0</v>
      </c>
      <c r="C7" s="559" t="str">
        <f t="shared" si="2"/>
        <v>1 - Producer</v>
      </c>
      <c r="D7" s="560"/>
      <c r="E7" s="560"/>
      <c r="F7" s="561"/>
      <c r="G7" s="559" t="str">
        <f t="shared" ref="G7:G9" si="3">G6</f>
        <v>A - DOM</v>
      </c>
      <c r="H7" s="559" t="s">
        <v>493</v>
      </c>
      <c r="I7" s="559" t="s">
        <v>493</v>
      </c>
      <c r="J7" s="559" t="s">
        <v>493</v>
      </c>
      <c r="K7" s="559"/>
      <c r="L7" s="559" t="s">
        <v>493</v>
      </c>
      <c r="M7" s="562" t="s">
        <v>519</v>
      </c>
      <c r="N7" s="554">
        <f>'Pro 2'!C224</f>
        <v>0</v>
      </c>
      <c r="O7" s="559" t="e">
        <v>#N/A</v>
      </c>
      <c r="P7" s="563" t="str">
        <f t="shared" si="1"/>
        <v>Dom</v>
      </c>
      <c r="Q7" s="556">
        <f>'Pro 2'!E242</f>
        <v>0</v>
      </c>
      <c r="R7" s="556">
        <f>'Pro 2'!F242</f>
        <v>0</v>
      </c>
      <c r="S7" s="556">
        <f>'Pro 2'!G242</f>
        <v>0</v>
      </c>
      <c r="T7" s="556">
        <f>'Pro 2'!H242</f>
        <v>0</v>
      </c>
      <c r="U7" s="556">
        <f>'Pro 2'!I242</f>
        <v>0</v>
      </c>
      <c r="V7" s="556">
        <f>'Pro 2'!J242</f>
        <v>0</v>
      </c>
      <c r="W7" s="556">
        <f>'Pro 2'!K242</f>
        <v>0</v>
      </c>
      <c r="X7" s="557">
        <f>'Pro 2'!L242</f>
        <v>0</v>
      </c>
      <c r="Y7" s="556">
        <f>'Pro 2'!E243/1000</f>
        <v>0</v>
      </c>
      <c r="Z7" s="556">
        <f>'Pro 2'!F243/1000</f>
        <v>0</v>
      </c>
      <c r="AA7" s="556">
        <f>'Pro 2'!G243/1000</f>
        <v>0</v>
      </c>
      <c r="AB7" s="556">
        <f>'Pro 2'!H243/1000</f>
        <v>0</v>
      </c>
      <c r="AC7" s="556">
        <f>'Pro 2'!I243/1000</f>
        <v>0</v>
      </c>
      <c r="AD7" s="556">
        <f>'Pro 2'!J243/1000</f>
        <v>0</v>
      </c>
      <c r="AE7" s="556">
        <f>'Pro 2'!K243/1000</f>
        <v>0</v>
      </c>
      <c r="AF7" s="557">
        <f>'Pro 2'!L243/1000</f>
        <v>0</v>
      </c>
      <c r="AG7" s="564">
        <f t="shared" si="0"/>
        <v>0</v>
      </c>
      <c r="AH7" s="564">
        <f t="shared" si="0"/>
        <v>0</v>
      </c>
      <c r="AI7" s="564">
        <f t="shared" si="0"/>
        <v>0</v>
      </c>
      <c r="AJ7" s="564">
        <f t="shared" si="0"/>
        <v>0</v>
      </c>
      <c r="AK7" s="564">
        <f t="shared" si="0"/>
        <v>0</v>
      </c>
      <c r="AL7" s="564">
        <f t="shared" si="0"/>
        <v>0</v>
      </c>
      <c r="AM7" s="564">
        <f t="shared" si="0"/>
        <v>0</v>
      </c>
      <c r="AN7" s="565">
        <f t="shared" si="0"/>
        <v>0</v>
      </c>
    </row>
    <row r="8" spans="1:40" x14ac:dyDescent="0.25">
      <c r="A8" s="551">
        <f t="shared" si="2"/>
        <v>0</v>
      </c>
      <c r="B8" s="551">
        <f t="shared" si="2"/>
        <v>0</v>
      </c>
      <c r="C8" s="551" t="str">
        <f t="shared" si="2"/>
        <v>1 - Producer</v>
      </c>
      <c r="D8" s="346"/>
      <c r="E8" s="346"/>
      <c r="F8" s="552"/>
      <c r="G8" s="551" t="str">
        <f t="shared" si="3"/>
        <v>A - DOM</v>
      </c>
      <c r="H8" s="551" t="s">
        <v>493</v>
      </c>
      <c r="I8" s="551" t="s">
        <v>493</v>
      </c>
      <c r="J8" s="551" t="s">
        <v>493</v>
      </c>
      <c r="K8" s="551"/>
      <c r="L8" s="551" t="s">
        <v>493</v>
      </c>
      <c r="M8" s="553" t="s">
        <v>520</v>
      </c>
      <c r="N8" s="554">
        <f>'Pro 2'!C225</f>
        <v>0</v>
      </c>
      <c r="O8" s="551" t="e">
        <v>#N/A</v>
      </c>
      <c r="P8" s="555" t="str">
        <f t="shared" si="1"/>
        <v>Dom</v>
      </c>
      <c r="Q8" s="556">
        <f>'Pro 2'!E246</f>
        <v>0</v>
      </c>
      <c r="R8" s="556">
        <f>'Pro 2'!F246</f>
        <v>0</v>
      </c>
      <c r="S8" s="556">
        <f>'Pro 2'!G246</f>
        <v>0</v>
      </c>
      <c r="T8" s="556">
        <f>'Pro 2'!H246</f>
        <v>0</v>
      </c>
      <c r="U8" s="556">
        <f>'Pro 2'!I246</f>
        <v>0</v>
      </c>
      <c r="V8" s="556">
        <f>'Pro 2'!J246</f>
        <v>0</v>
      </c>
      <c r="W8" s="556">
        <f>'Pro 2'!K246</f>
        <v>0</v>
      </c>
      <c r="X8" s="557">
        <f>'Pro 2'!L246</f>
        <v>0</v>
      </c>
      <c r="Y8" s="556">
        <f>'Pro 2'!E247/1000</f>
        <v>0</v>
      </c>
      <c r="Z8" s="556">
        <f>'Pro 2'!F247/1000</f>
        <v>0</v>
      </c>
      <c r="AA8" s="556">
        <f>'Pro 2'!G247/1000</f>
        <v>0</v>
      </c>
      <c r="AB8" s="556">
        <f>'Pro 2'!H247/1000</f>
        <v>0</v>
      </c>
      <c r="AC8" s="556">
        <f>'Pro 2'!I247/1000</f>
        <v>0</v>
      </c>
      <c r="AD8" s="556">
        <f>'Pro 2'!J247/1000</f>
        <v>0</v>
      </c>
      <c r="AE8" s="556">
        <f>'Pro 2'!K247/1000</f>
        <v>0</v>
      </c>
      <c r="AF8" s="557">
        <f>'Pro 2'!L247/1000</f>
        <v>0</v>
      </c>
      <c r="AG8" s="558">
        <f t="shared" si="0"/>
        <v>0</v>
      </c>
      <c r="AH8" s="558">
        <f t="shared" si="0"/>
        <v>0</v>
      </c>
      <c r="AI8" s="558">
        <f t="shared" si="0"/>
        <v>0</v>
      </c>
      <c r="AJ8" s="558">
        <f t="shared" si="0"/>
        <v>0</v>
      </c>
      <c r="AK8" s="558">
        <f t="shared" si="0"/>
        <v>0</v>
      </c>
      <c r="AL8" s="558">
        <f t="shared" si="0"/>
        <v>0</v>
      </c>
      <c r="AM8" s="558">
        <f t="shared" si="0"/>
        <v>0</v>
      </c>
      <c r="AN8" s="521">
        <f t="shared" si="0"/>
        <v>0</v>
      </c>
    </row>
    <row r="9" spans="1:40" x14ac:dyDescent="0.25">
      <c r="A9" s="559">
        <f t="shared" si="2"/>
        <v>0</v>
      </c>
      <c r="B9" s="559">
        <f t="shared" si="2"/>
        <v>0</v>
      </c>
      <c r="C9" s="559" t="str">
        <f t="shared" si="2"/>
        <v>1 - Producer</v>
      </c>
      <c r="D9" s="560"/>
      <c r="E9" s="560"/>
      <c r="F9" s="561"/>
      <c r="G9" s="559" t="str">
        <f t="shared" si="3"/>
        <v>A - DOM</v>
      </c>
      <c r="H9" s="559" t="s">
        <v>493</v>
      </c>
      <c r="I9" s="559" t="s">
        <v>493</v>
      </c>
      <c r="J9" s="559" t="s">
        <v>493</v>
      </c>
      <c r="K9" s="559"/>
      <c r="L9" s="559" t="s">
        <v>493</v>
      </c>
      <c r="M9" s="562" t="s">
        <v>521</v>
      </c>
      <c r="N9" s="554">
        <f>'Pro 2'!C226</f>
        <v>0</v>
      </c>
      <c r="O9" s="559" t="e">
        <v>#N/A</v>
      </c>
      <c r="P9" s="563" t="str">
        <f t="shared" si="1"/>
        <v>Dom</v>
      </c>
      <c r="Q9" s="556">
        <f>'Pro 2'!E250</f>
        <v>0</v>
      </c>
      <c r="R9" s="556">
        <f>'Pro 2'!F250</f>
        <v>0</v>
      </c>
      <c r="S9" s="556">
        <f>'Pro 2'!G250</f>
        <v>0</v>
      </c>
      <c r="T9" s="556">
        <f>'Pro 2'!H250</f>
        <v>0</v>
      </c>
      <c r="U9" s="556">
        <f>'Pro 2'!I250</f>
        <v>0</v>
      </c>
      <c r="V9" s="556">
        <f>'Pro 2'!J250</f>
        <v>0</v>
      </c>
      <c r="W9" s="556">
        <f>'Pro 2'!K250</f>
        <v>0</v>
      </c>
      <c r="X9" s="557">
        <f>'Pro 2'!L250</f>
        <v>0</v>
      </c>
      <c r="Y9" s="556">
        <f>'Pro 2'!E251/1000</f>
        <v>0</v>
      </c>
      <c r="Z9" s="556">
        <f>'Pro 2'!F251/1000</f>
        <v>0</v>
      </c>
      <c r="AA9" s="556">
        <f>'Pro 2'!G251/1000</f>
        <v>0</v>
      </c>
      <c r="AB9" s="556">
        <f>'Pro 2'!H251/1000</f>
        <v>0</v>
      </c>
      <c r="AC9" s="556">
        <f>'Pro 2'!I251/1000</f>
        <v>0</v>
      </c>
      <c r="AD9" s="556">
        <f>'Pro 2'!J251/1000</f>
        <v>0</v>
      </c>
      <c r="AE9" s="556">
        <f>'Pro 2'!K251/1000</f>
        <v>0</v>
      </c>
      <c r="AF9" s="557">
        <f>'Pro 2'!L251/1000</f>
        <v>0</v>
      </c>
      <c r="AG9" s="564">
        <f t="shared" si="0"/>
        <v>0</v>
      </c>
      <c r="AH9" s="564">
        <f t="shared" si="0"/>
        <v>0</v>
      </c>
      <c r="AI9" s="564">
        <f t="shared" si="0"/>
        <v>0</v>
      </c>
      <c r="AJ9" s="564">
        <f t="shared" si="0"/>
        <v>0</v>
      </c>
      <c r="AK9" s="564">
        <f t="shared" si="0"/>
        <v>0</v>
      </c>
      <c r="AL9" s="564">
        <f t="shared" si="0"/>
        <v>0</v>
      </c>
      <c r="AM9" s="564">
        <f t="shared" si="0"/>
        <v>0</v>
      </c>
      <c r="AN9" s="565">
        <f t="shared" si="0"/>
        <v>0</v>
      </c>
    </row>
  </sheetData>
  <sheetProtection algorithmName="SHA-512" hashValue="d3dJKBENa0XoZ5h6QOc6Jyrl5+JT2LHvdlF/2FZrFRuQ9rMcXL1r9E8iWKcDmwLzyq/tqNgQbSW98g7jxSpYAw==" saltValue="VdDnI4wkihpa9CFVpf/hhQ==" spinCount="100000" sheet="1" objects="1" scenarios="1" selectLockedCells="1"/>
  <dataValidations count="1">
    <dataValidation type="list" allowBlank="1" showInputMessage="1" showErrorMessage="1" sqref="C5:C9" xr:uid="{5044EA3A-BCF6-410B-B7D2-FB36B2D9F343}">
      <formula1>$C$1:$C$2</formula1>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B7314-293C-4439-8435-EFB2FE16A054}">
  <sheetPr>
    <tabColor rgb="FFFF0000"/>
  </sheetPr>
  <dimension ref="A3:AD110"/>
  <sheetViews>
    <sheetView workbookViewId="0"/>
  </sheetViews>
  <sheetFormatPr defaultColWidth="9.140625" defaultRowHeight="12.75" x14ac:dyDescent="0.2"/>
  <cols>
    <col min="1" max="2" width="9.140625" style="42"/>
    <col min="3" max="3" width="12.42578125" style="42" customWidth="1"/>
    <col min="4" max="4" width="57.85546875" style="42" customWidth="1"/>
    <col min="5" max="15" width="9.140625" style="42"/>
    <col min="16" max="16" width="24" style="42" customWidth="1"/>
    <col min="17" max="16384" width="9.140625" style="42"/>
  </cols>
  <sheetData>
    <row r="3" spans="4:19" x14ac:dyDescent="0.2">
      <c r="D3" s="102" t="s">
        <v>433</v>
      </c>
      <c r="E3" s="45" t="s">
        <v>434</v>
      </c>
      <c r="F3" s="45"/>
      <c r="G3" s="45"/>
      <c r="H3" s="45"/>
      <c r="I3" s="45"/>
      <c r="J3" s="45"/>
      <c r="K3" s="45" t="s">
        <v>41</v>
      </c>
      <c r="L3" s="45"/>
      <c r="M3" s="45"/>
      <c r="N3" s="45"/>
      <c r="O3" s="45"/>
      <c r="P3" s="45"/>
      <c r="Q3" s="45"/>
      <c r="R3" s="45"/>
      <c r="S3" s="46"/>
    </row>
    <row r="4" spans="4:19" x14ac:dyDescent="0.2">
      <c r="D4" s="48"/>
      <c r="F4" s="42">
        <v>2022</v>
      </c>
      <c r="G4" s="42">
        <v>2023</v>
      </c>
      <c r="H4" s="42">
        <v>2024</v>
      </c>
      <c r="L4" s="42">
        <v>2022</v>
      </c>
      <c r="M4" s="42">
        <v>2023</v>
      </c>
      <c r="N4" s="42">
        <v>2024</v>
      </c>
      <c r="S4" s="49"/>
    </row>
    <row r="5" spans="4:19" x14ac:dyDescent="0.2">
      <c r="D5" s="48" t="s">
        <v>436</v>
      </c>
      <c r="J5" s="42" t="s">
        <v>436</v>
      </c>
      <c r="P5" s="42" t="s">
        <v>435</v>
      </c>
      <c r="S5" s="49"/>
    </row>
    <row r="6" spans="4:19" x14ac:dyDescent="0.2">
      <c r="D6" s="48"/>
      <c r="Q6" s="42">
        <v>2022</v>
      </c>
      <c r="R6" s="42">
        <v>2023</v>
      </c>
      <c r="S6" s="49">
        <v>2024</v>
      </c>
    </row>
    <row r="7" spans="4:19" ht="13.5" thickBot="1" x14ac:dyDescent="0.25">
      <c r="D7" s="48" t="s">
        <v>438</v>
      </c>
      <c r="J7" s="42" t="s">
        <v>438</v>
      </c>
      <c r="P7" s="42" t="s">
        <v>437</v>
      </c>
      <c r="S7" s="49"/>
    </row>
    <row r="8" spans="4:19" x14ac:dyDescent="0.2">
      <c r="D8" s="48" t="s">
        <v>439</v>
      </c>
      <c r="F8" s="43">
        <f>'Pro 1'!G20</f>
        <v>0</v>
      </c>
      <c r="G8" s="43">
        <f>'Pro 1'!H20</f>
        <v>0</v>
      </c>
      <c r="H8" s="43">
        <f>'Pro 1'!I20</f>
        <v>0</v>
      </c>
      <c r="J8" s="42" t="s">
        <v>439</v>
      </c>
      <c r="L8" s="43">
        <f>'Pro 1'!G21</f>
        <v>0</v>
      </c>
      <c r="M8" s="43">
        <f>'Pro 1'!H21</f>
        <v>0</v>
      </c>
      <c r="N8" s="43">
        <f>'Pro 1'!I21</f>
        <v>0</v>
      </c>
      <c r="P8" s="42" t="s">
        <v>373</v>
      </c>
      <c r="Q8" s="42">
        <f>'Pro 3'!G364</f>
        <v>0</v>
      </c>
      <c r="R8" s="42">
        <f>'Pro 3'!H364</f>
        <v>0</v>
      </c>
      <c r="S8" s="49">
        <f>'Pro 3'!I364</f>
        <v>0</v>
      </c>
    </row>
    <row r="9" spans="4:19" x14ac:dyDescent="0.2">
      <c r="D9" s="48"/>
      <c r="P9" s="42" t="s">
        <v>367</v>
      </c>
      <c r="Q9" s="42">
        <f>'Pro 3'!G365</f>
        <v>0</v>
      </c>
      <c r="R9" s="42">
        <f>'Pro 3'!H365</f>
        <v>0</v>
      </c>
      <c r="S9" s="49">
        <f>'Pro 3'!I365</f>
        <v>0</v>
      </c>
    </row>
    <row r="10" spans="4:19" x14ac:dyDescent="0.2">
      <c r="D10" s="48" t="s">
        <v>437</v>
      </c>
      <c r="J10" s="42" t="s">
        <v>437</v>
      </c>
      <c r="P10" s="42" t="s">
        <v>440</v>
      </c>
      <c r="S10" s="49"/>
    </row>
    <row r="11" spans="4:19" x14ac:dyDescent="0.2">
      <c r="D11" s="48" t="s">
        <v>164</v>
      </c>
      <c r="F11" s="42">
        <f>'Pro 3'!G24/1000</f>
        <v>0</v>
      </c>
      <c r="G11" s="42">
        <f>'Pro 3'!H24/1000</f>
        <v>0</v>
      </c>
      <c r="H11" s="42">
        <f>'Pro 3'!I24/1000</f>
        <v>0</v>
      </c>
      <c r="J11" s="42" t="s">
        <v>164</v>
      </c>
      <c r="L11" s="42">
        <f>'Pro 3'!G49/1000</f>
        <v>0</v>
      </c>
      <c r="M11" s="42">
        <f>'Pro 3'!H49/1000</f>
        <v>0</v>
      </c>
      <c r="N11" s="42">
        <f>'Pro 3'!I49/1000</f>
        <v>0</v>
      </c>
      <c r="P11" s="42" t="s">
        <v>370</v>
      </c>
      <c r="Q11" s="42">
        <f>'Pro 3'!G367</f>
        <v>0</v>
      </c>
      <c r="R11" s="42">
        <f>'Pro 3'!H367</f>
        <v>0</v>
      </c>
      <c r="S11" s="49">
        <f>'Pro 3'!I367</f>
        <v>0</v>
      </c>
    </row>
    <row r="12" spans="4:19" x14ac:dyDescent="0.2">
      <c r="D12" s="48" t="s">
        <v>441</v>
      </c>
      <c r="F12" s="42">
        <f>SUM('Pro 3'!G25:G28)/1000</f>
        <v>0</v>
      </c>
      <c r="G12" s="42">
        <f>SUM('Pro 3'!H25:H28)/1000</f>
        <v>0</v>
      </c>
      <c r="H12" s="42">
        <f>SUM('Pro 3'!I25:I28)/1000</f>
        <v>0</v>
      </c>
      <c r="J12" s="42" t="s">
        <v>441</v>
      </c>
      <c r="L12" s="42">
        <f>SUM('Pro 3'!G50:G53)/1000</f>
        <v>0</v>
      </c>
      <c r="M12" s="42">
        <f>SUM('Pro 3'!H50:H53)/1000</f>
        <v>0</v>
      </c>
      <c r="N12" s="42">
        <f>SUM('Pro 3'!I50:I53)/1000</f>
        <v>0</v>
      </c>
      <c r="P12" s="42" t="s">
        <v>369</v>
      </c>
      <c r="Q12" s="42">
        <f>'Pro 3'!G368</f>
        <v>0</v>
      </c>
      <c r="R12" s="42">
        <f>'Pro 3'!H368</f>
        <v>0</v>
      </c>
      <c r="S12" s="49">
        <f>'Pro 3'!I368</f>
        <v>0</v>
      </c>
    </row>
    <row r="13" spans="4:19" x14ac:dyDescent="0.2">
      <c r="D13" s="48" t="s">
        <v>442</v>
      </c>
      <c r="F13" s="42">
        <f>'Pro 3'!G30/1000</f>
        <v>0</v>
      </c>
      <c r="G13" s="42">
        <f>'Pro 3'!H30/1000</f>
        <v>0</v>
      </c>
      <c r="H13" s="42">
        <f>'Pro 3'!I30/1000</f>
        <v>0</v>
      </c>
      <c r="J13" s="42" t="s">
        <v>442</v>
      </c>
      <c r="L13" s="42">
        <f>'Pro 3'!G55/1000</f>
        <v>0</v>
      </c>
      <c r="M13" s="42">
        <f>'Pro 3'!H55/1000</f>
        <v>0</v>
      </c>
      <c r="N13" s="42">
        <f>'Pro 3'!I55/1000</f>
        <v>0</v>
      </c>
      <c r="P13" s="42" t="s">
        <v>443</v>
      </c>
      <c r="Q13" s="42">
        <f>'Pro 3'!G369</f>
        <v>0</v>
      </c>
      <c r="R13" s="42">
        <f>'Pro 3'!H369</f>
        <v>0</v>
      </c>
      <c r="S13" s="49">
        <f>'Pro 3'!I369</f>
        <v>0</v>
      </c>
    </row>
    <row r="14" spans="4:19" ht="13.5" thickBot="1" x14ac:dyDescent="0.25">
      <c r="D14" s="48" t="s">
        <v>419</v>
      </c>
      <c r="F14" s="42">
        <f>'Pro 3'!G31/1000</f>
        <v>0</v>
      </c>
      <c r="G14" s="42">
        <f>'Pro 3'!H31/1000</f>
        <v>0</v>
      </c>
      <c r="H14" s="42">
        <f>'Pro 3'!I31/1000</f>
        <v>0</v>
      </c>
      <c r="J14" s="42" t="s">
        <v>419</v>
      </c>
      <c r="L14" s="42">
        <f>'Pro 3'!G56/1000</f>
        <v>0</v>
      </c>
      <c r="M14" s="42">
        <f>'Pro 3'!H56/1000</f>
        <v>0</v>
      </c>
      <c r="N14" s="42">
        <f>'Pro 3'!I56/1000</f>
        <v>0</v>
      </c>
      <c r="P14" s="42" t="s">
        <v>445</v>
      </c>
      <c r="Q14" s="44"/>
      <c r="R14" s="44"/>
      <c r="S14" s="101"/>
    </row>
    <row r="15" spans="4:19" x14ac:dyDescent="0.2">
      <c r="D15" s="48" t="s">
        <v>444</v>
      </c>
      <c r="F15" s="42">
        <f>'Pro 3'!G32/1000</f>
        <v>0</v>
      </c>
      <c r="G15" s="42">
        <f>'Pro 3'!H32/1000</f>
        <v>0</v>
      </c>
      <c r="H15" s="42">
        <f>'Pro 3'!I32/1000</f>
        <v>0</v>
      </c>
      <c r="J15" s="42" t="s">
        <v>444</v>
      </c>
      <c r="L15" s="42">
        <f>'Pro 3'!G57/1000</f>
        <v>0</v>
      </c>
      <c r="M15" s="42">
        <f>'Pro 3'!H57/1000</f>
        <v>0</v>
      </c>
      <c r="N15" s="42">
        <f>'Pro 3'!I57/1000</f>
        <v>0</v>
      </c>
      <c r="S15" s="49"/>
    </row>
    <row r="16" spans="4:19" x14ac:dyDescent="0.2">
      <c r="D16" s="48" t="s">
        <v>446</v>
      </c>
      <c r="J16" s="42" t="s">
        <v>446</v>
      </c>
      <c r="S16" s="49"/>
    </row>
    <row r="17" spans="4:19" x14ac:dyDescent="0.2">
      <c r="D17" s="48"/>
      <c r="S17" s="49"/>
    </row>
    <row r="18" spans="4:19" x14ac:dyDescent="0.2">
      <c r="D18" s="48" t="s">
        <v>447</v>
      </c>
      <c r="J18" s="42" t="s">
        <v>447</v>
      </c>
      <c r="S18" s="49"/>
    </row>
    <row r="19" spans="4:19" x14ac:dyDescent="0.2">
      <c r="D19" s="48"/>
      <c r="S19" s="49"/>
    </row>
    <row r="20" spans="4:19" x14ac:dyDescent="0.2">
      <c r="D20" s="48" t="s">
        <v>448</v>
      </c>
      <c r="F20" s="42" t="e">
        <f>'Pro 2'!G28+'Pro 2'!G31+'Pro 2'!#REF!+'Pro 2'!#REF!</f>
        <v>#REF!</v>
      </c>
      <c r="G20" s="42" t="e">
        <f>'Pro 2'!H28+'Pro 2'!H31+'Pro 2'!#REF!+'Pro 2'!#REF!</f>
        <v>#REF!</v>
      </c>
      <c r="H20" s="42" t="e">
        <f>'Pro 2'!I28+'Pro 2'!I31+'Pro 2'!#REF!+'Pro 2'!#REF!</f>
        <v>#REF!</v>
      </c>
      <c r="J20" s="42" t="s">
        <v>448</v>
      </c>
      <c r="L20" s="42">
        <f>'Pro 2'!G40</f>
        <v>0</v>
      </c>
      <c r="M20" s="42">
        <f>'Pro 2'!H40</f>
        <v>0</v>
      </c>
      <c r="N20" s="42">
        <f>'Pro 2'!I40</f>
        <v>0</v>
      </c>
      <c r="S20" s="49"/>
    </row>
    <row r="21" spans="4:19" x14ac:dyDescent="0.2">
      <c r="D21" s="48"/>
      <c r="S21" s="49"/>
    </row>
    <row r="22" spans="4:19" x14ac:dyDescent="0.2">
      <c r="D22" s="48" t="s">
        <v>437</v>
      </c>
      <c r="J22" s="42" t="s">
        <v>437</v>
      </c>
      <c r="S22" s="49"/>
    </row>
    <row r="23" spans="4:19" x14ac:dyDescent="0.2">
      <c r="D23" s="48" t="s">
        <v>373</v>
      </c>
      <c r="F23" s="42">
        <f>'Pro 3'!G187</f>
        <v>0</v>
      </c>
      <c r="G23" s="42">
        <f>'Pro 3'!H187</f>
        <v>0</v>
      </c>
      <c r="H23" s="42">
        <f>'Pro 3'!I187</f>
        <v>0</v>
      </c>
      <c r="J23" s="42" t="s">
        <v>373</v>
      </c>
      <c r="L23" s="42">
        <f>'Pro 3'!G211</f>
        <v>0</v>
      </c>
      <c r="M23" s="42">
        <f>'Pro 3'!H211</f>
        <v>0</v>
      </c>
      <c r="N23" s="42">
        <f>'Pro 3'!I211</f>
        <v>0</v>
      </c>
      <c r="S23" s="49"/>
    </row>
    <row r="24" spans="4:19" x14ac:dyDescent="0.2">
      <c r="D24" s="48"/>
      <c r="S24" s="49"/>
    </row>
    <row r="25" spans="4:19" x14ac:dyDescent="0.2">
      <c r="D25" s="48"/>
      <c r="S25" s="49"/>
    </row>
    <row r="26" spans="4:19" x14ac:dyDescent="0.2">
      <c r="D26" s="48"/>
      <c r="S26" s="49"/>
    </row>
    <row r="27" spans="4:19" x14ac:dyDescent="0.2">
      <c r="D27" s="48" t="s">
        <v>164</v>
      </c>
      <c r="F27" s="42">
        <f>'Pro 3'!G188</f>
        <v>0</v>
      </c>
      <c r="G27" s="42">
        <f>'Pro 3'!H188</f>
        <v>0</v>
      </c>
      <c r="H27" s="42">
        <f>'Pro 3'!I188</f>
        <v>0</v>
      </c>
      <c r="J27" s="42" t="s">
        <v>164</v>
      </c>
      <c r="L27" s="42">
        <f>'Pro 3'!G212</f>
        <v>0</v>
      </c>
      <c r="M27" s="42">
        <f>'Pro 3'!H212</f>
        <v>0</v>
      </c>
      <c r="N27" s="42">
        <f>'Pro 3'!I212</f>
        <v>0</v>
      </c>
      <c r="S27" s="49"/>
    </row>
    <row r="28" spans="4:19" x14ac:dyDescent="0.2">
      <c r="D28" s="48" t="s">
        <v>446</v>
      </c>
      <c r="J28" s="42" t="s">
        <v>446</v>
      </c>
      <c r="S28" s="49"/>
    </row>
    <row r="29" spans="4:19" x14ac:dyDescent="0.2">
      <c r="D29" s="48" t="s">
        <v>165</v>
      </c>
      <c r="F29" s="42">
        <f>'Pro 3'!G190</f>
        <v>0</v>
      </c>
      <c r="G29" s="42">
        <f>'Pro 3'!H190</f>
        <v>0</v>
      </c>
      <c r="H29" s="42">
        <f>'Pro 3'!I190</f>
        <v>0</v>
      </c>
      <c r="J29" s="42" t="s">
        <v>165</v>
      </c>
      <c r="L29" s="42">
        <f>'Pro 3'!G214</f>
        <v>0</v>
      </c>
      <c r="M29" s="42">
        <f>'Pro 3'!H214</f>
        <v>0</v>
      </c>
      <c r="N29" s="42">
        <f>'Pro 3'!I214</f>
        <v>0</v>
      </c>
      <c r="S29" s="49"/>
    </row>
    <row r="30" spans="4:19" x14ac:dyDescent="0.2">
      <c r="D30" s="48" t="s">
        <v>367</v>
      </c>
      <c r="J30" s="42" t="s">
        <v>367</v>
      </c>
      <c r="S30" s="49"/>
    </row>
    <row r="31" spans="4:19" x14ac:dyDescent="0.2">
      <c r="D31" s="48" t="s">
        <v>440</v>
      </c>
      <c r="J31" s="42" t="s">
        <v>440</v>
      </c>
      <c r="S31" s="49"/>
    </row>
    <row r="32" spans="4:19" x14ac:dyDescent="0.2">
      <c r="D32" s="48" t="s">
        <v>370</v>
      </c>
      <c r="F32" s="42">
        <f>'Pro 3'!G193</f>
        <v>0</v>
      </c>
      <c r="G32" s="42">
        <f>'Pro 3'!H193</f>
        <v>0</v>
      </c>
      <c r="H32" s="42">
        <f>'Pro 3'!I193</f>
        <v>0</v>
      </c>
      <c r="J32" s="42" t="s">
        <v>370</v>
      </c>
      <c r="L32" s="42">
        <f>'Pro 3'!G217</f>
        <v>0</v>
      </c>
      <c r="M32" s="42">
        <f>'Pro 3'!H217</f>
        <v>0</v>
      </c>
      <c r="N32" s="42">
        <f>'Pro 3'!I217</f>
        <v>0</v>
      </c>
      <c r="S32" s="49"/>
    </row>
    <row r="33" spans="4:20" x14ac:dyDescent="0.2">
      <c r="D33" s="48" t="s">
        <v>369</v>
      </c>
      <c r="F33" s="42">
        <f>'Pro 3'!G194</f>
        <v>0</v>
      </c>
      <c r="G33" s="42">
        <f>'Pro 3'!H194</f>
        <v>0</v>
      </c>
      <c r="H33" s="42">
        <f>'Pro 3'!I194</f>
        <v>0</v>
      </c>
      <c r="J33" s="42" t="s">
        <v>369</v>
      </c>
      <c r="L33" s="42">
        <f>'Pro 3'!G218</f>
        <v>0</v>
      </c>
      <c r="M33" s="42">
        <f>'Pro 3'!H218</f>
        <v>0</v>
      </c>
      <c r="N33" s="42">
        <f>'Pro 3'!I218</f>
        <v>0</v>
      </c>
      <c r="S33" s="49"/>
    </row>
    <row r="34" spans="4:20" ht="13.5" thickBot="1" x14ac:dyDescent="0.25">
      <c r="D34" s="48" t="s">
        <v>443</v>
      </c>
      <c r="F34" s="44">
        <f>'Pro 3'!G195</f>
        <v>0</v>
      </c>
      <c r="G34" s="44">
        <f>'Pro 3'!H195</f>
        <v>0</v>
      </c>
      <c r="H34" s="44">
        <f>'Pro 3'!I195</f>
        <v>0</v>
      </c>
      <c r="J34" s="42" t="s">
        <v>443</v>
      </c>
      <c r="L34" s="44">
        <f>'Pro 3'!G219</f>
        <v>0</v>
      </c>
      <c r="M34" s="44">
        <f>'Pro 3'!H219</f>
        <v>0</v>
      </c>
      <c r="N34" s="44">
        <f>'Pro 3'!I219</f>
        <v>0</v>
      </c>
      <c r="S34" s="49"/>
    </row>
    <row r="35" spans="4:20" x14ac:dyDescent="0.2">
      <c r="D35" s="51" t="s">
        <v>445</v>
      </c>
      <c r="E35" s="52"/>
      <c r="F35" s="52"/>
      <c r="G35" s="52"/>
      <c r="H35" s="52"/>
      <c r="I35" s="52"/>
      <c r="J35" s="52" t="s">
        <v>445</v>
      </c>
      <c r="K35" s="52"/>
      <c r="L35" s="52"/>
      <c r="M35" s="52"/>
      <c r="N35" s="52"/>
      <c r="O35" s="52"/>
      <c r="P35" s="52"/>
      <c r="Q35" s="52"/>
      <c r="R35" s="52"/>
      <c r="S35" s="53"/>
    </row>
    <row r="37" spans="4:20" x14ac:dyDescent="0.2">
      <c r="D37" s="102" t="s">
        <v>449</v>
      </c>
      <c r="E37" s="45"/>
      <c r="F37" s="45">
        <v>2022</v>
      </c>
      <c r="G37" s="45">
        <v>2023</v>
      </c>
      <c r="H37" s="45">
        <v>2024</v>
      </c>
      <c r="I37" s="45"/>
      <c r="J37" s="45"/>
      <c r="K37" s="45">
        <v>2022</v>
      </c>
      <c r="L37" s="45">
        <v>2023</v>
      </c>
      <c r="M37" s="46">
        <v>2024</v>
      </c>
    </row>
    <row r="38" spans="4:20" x14ac:dyDescent="0.2">
      <c r="D38" s="104" t="s">
        <v>557</v>
      </c>
      <c r="E38" s="103"/>
      <c r="F38" s="47">
        <f>'Pro 3'!G25</f>
        <v>0</v>
      </c>
      <c r="G38" s="47">
        <f>'Pro 3'!H25</f>
        <v>0</v>
      </c>
      <c r="H38" s="47">
        <f>'Pro 3'!I25</f>
        <v>0</v>
      </c>
      <c r="I38" s="47"/>
      <c r="J38" s="42" t="s">
        <v>450</v>
      </c>
      <c r="K38" s="42">
        <f>'Pro 3'!G50</f>
        <v>0</v>
      </c>
      <c r="L38" s="42">
        <f>'Pro 3'!H50</f>
        <v>0</v>
      </c>
      <c r="M38" s="49">
        <f>'Pro 3'!I50</f>
        <v>0</v>
      </c>
    </row>
    <row r="39" spans="4:20" x14ac:dyDescent="0.2">
      <c r="D39" s="104" t="s">
        <v>558</v>
      </c>
      <c r="E39" s="103"/>
      <c r="F39" s="47">
        <f>'Pro 3'!G26</f>
        <v>0</v>
      </c>
      <c r="G39" s="47">
        <f>'Pro 3'!H26</f>
        <v>0</v>
      </c>
      <c r="H39" s="47">
        <f>'Pro 3'!I26</f>
        <v>0</v>
      </c>
      <c r="I39" s="47"/>
      <c r="J39" s="42" t="s">
        <v>451</v>
      </c>
      <c r="K39" s="42">
        <f>'Pro 3'!G51</f>
        <v>0</v>
      </c>
      <c r="L39" s="42">
        <f>'Pro 3'!H51</f>
        <v>0</v>
      </c>
      <c r="M39" s="49">
        <f>'Pro 3'!I51</f>
        <v>0</v>
      </c>
    </row>
    <row r="40" spans="4:20" x14ac:dyDescent="0.2">
      <c r="D40" s="104" t="s">
        <v>559</v>
      </c>
      <c r="E40" s="103"/>
      <c r="F40" s="47">
        <f>'Pro 3'!G27</f>
        <v>0</v>
      </c>
      <c r="G40" s="47">
        <f>'Pro 3'!H27</f>
        <v>0</v>
      </c>
      <c r="H40" s="47">
        <f>'Pro 3'!I27</f>
        <v>0</v>
      </c>
      <c r="I40" s="47"/>
      <c r="J40" s="42" t="s">
        <v>452</v>
      </c>
      <c r="K40" s="42">
        <f>'Pro 3'!G52</f>
        <v>0</v>
      </c>
      <c r="L40" s="42">
        <f>'Pro 3'!H52</f>
        <v>0</v>
      </c>
      <c r="M40" s="49">
        <f>'Pro 3'!I52</f>
        <v>0</v>
      </c>
    </row>
    <row r="41" spans="4:20" x14ac:dyDescent="0.2">
      <c r="D41" s="105" t="s">
        <v>453</v>
      </c>
      <c r="E41" s="106"/>
      <c r="F41" s="50">
        <f>'Pro 3'!G28</f>
        <v>0</v>
      </c>
      <c r="G41" s="50">
        <f>'Pro 3'!H28</f>
        <v>0</v>
      </c>
      <c r="H41" s="50">
        <f>'Pro 3'!I28</f>
        <v>0</v>
      </c>
      <c r="I41" s="50"/>
      <c r="J41" s="52" t="s">
        <v>453</v>
      </c>
      <c r="K41" s="52">
        <f>'Pro 3'!G53</f>
        <v>0</v>
      </c>
      <c r="L41" s="52">
        <f>'Pro 3'!H53</f>
        <v>0</v>
      </c>
      <c r="M41" s="53">
        <f>'Pro 3'!I53</f>
        <v>0</v>
      </c>
    </row>
    <row r="43" spans="4:20" x14ac:dyDescent="0.2">
      <c r="D43" s="102" t="s">
        <v>454</v>
      </c>
      <c r="E43" s="99">
        <v>2021</v>
      </c>
      <c r="F43" s="99">
        <v>2022</v>
      </c>
      <c r="G43" s="99">
        <v>2023</v>
      </c>
      <c r="H43" s="45"/>
      <c r="I43" s="99"/>
      <c r="J43" s="45"/>
      <c r="K43" s="99"/>
      <c r="L43" s="1030" t="s">
        <v>528</v>
      </c>
      <c r="M43" s="1030"/>
      <c r="N43" s="1030"/>
      <c r="O43" s="1030" t="s">
        <v>529</v>
      </c>
      <c r="P43" s="1030"/>
      <c r="Q43" s="1030"/>
      <c r="R43" s="1030" t="s">
        <v>530</v>
      </c>
      <c r="S43" s="1030"/>
      <c r="T43" s="1031"/>
    </row>
    <row r="44" spans="4:20" x14ac:dyDescent="0.2">
      <c r="D44" s="89"/>
      <c r="E44" s="86"/>
      <c r="F44" s="86"/>
      <c r="G44" s="86"/>
      <c r="I44" s="98"/>
      <c r="J44" s="86" t="s">
        <v>522</v>
      </c>
      <c r="K44" s="86"/>
      <c r="L44" s="42">
        <v>2022</v>
      </c>
      <c r="M44" s="42">
        <v>2023</v>
      </c>
      <c r="N44" s="42">
        <v>2024</v>
      </c>
      <c r="O44" s="42">
        <v>2022</v>
      </c>
      <c r="P44" s="42">
        <v>2023</v>
      </c>
      <c r="Q44" s="42">
        <v>2024</v>
      </c>
      <c r="R44" s="42">
        <v>2022</v>
      </c>
      <c r="S44" s="42">
        <v>2023</v>
      </c>
      <c r="T44" s="49">
        <v>2024</v>
      </c>
    </row>
    <row r="45" spans="4:20" x14ac:dyDescent="0.2">
      <c r="D45" s="90" t="s">
        <v>455</v>
      </c>
      <c r="E45" s="87">
        <f>'Pro 1'!G26</f>
        <v>0</v>
      </c>
      <c r="F45" s="87">
        <f>'Pro 1'!H26</f>
        <v>0</v>
      </c>
      <c r="G45" s="87">
        <f>'Pro 1'!I26</f>
        <v>0</v>
      </c>
      <c r="I45" s="55"/>
      <c r="J45" s="88" t="s">
        <v>523</v>
      </c>
      <c r="K45" s="88" t="s">
        <v>524</v>
      </c>
      <c r="L45" s="42">
        <f>'Pro 1'!G20</f>
        <v>0</v>
      </c>
      <c r="M45" s="42">
        <f>'Pro 1'!H20</f>
        <v>0</v>
      </c>
      <c r="N45" s="42">
        <f>'Pro 1'!I20</f>
        <v>0</v>
      </c>
      <c r="R45" s="42">
        <f>IF(L45=0,0,O45/L45)*1000</f>
        <v>0</v>
      </c>
      <c r="S45" s="42">
        <f>IF(M45=0,0,P45/M45)*1000</f>
        <v>0</v>
      </c>
      <c r="T45" s="49">
        <f>IF(N45=0,0,Q45/N45)*1000</f>
        <v>0</v>
      </c>
    </row>
    <row r="46" spans="4:20" x14ac:dyDescent="0.2">
      <c r="D46" s="89"/>
      <c r="E46" s="54"/>
      <c r="F46" s="54"/>
      <c r="G46" s="54"/>
      <c r="I46" s="97"/>
      <c r="J46" s="88" t="s">
        <v>523</v>
      </c>
      <c r="K46" s="88" t="s">
        <v>525</v>
      </c>
      <c r="L46" s="42" t="e">
        <f>'Pro 1'!#REF!</f>
        <v>#REF!</v>
      </c>
      <c r="M46" s="42" t="e">
        <f>'Pro 1'!#REF!</f>
        <v>#REF!</v>
      </c>
      <c r="N46" s="42" t="e">
        <f>'Pro 1'!#REF!</f>
        <v>#REF!</v>
      </c>
      <c r="R46" s="42" t="e">
        <f>IF(L46=0,0,O46/L46)*1000</f>
        <v>#REF!</v>
      </c>
      <c r="S46" s="42" t="e">
        <f t="shared" ref="S46:T50" si="0">IF(M46=0,0,P46/M46)*1000</f>
        <v>#REF!</v>
      </c>
      <c r="T46" s="49" t="e">
        <f t="shared" si="0"/>
        <v>#REF!</v>
      </c>
    </row>
    <row r="47" spans="4:20" x14ac:dyDescent="0.2">
      <c r="D47" s="90" t="s">
        <v>456</v>
      </c>
      <c r="E47" s="54"/>
      <c r="F47" s="54"/>
      <c r="G47" s="54"/>
      <c r="I47" s="97"/>
      <c r="J47" s="88" t="s">
        <v>526</v>
      </c>
      <c r="K47" s="88" t="s">
        <v>524</v>
      </c>
      <c r="L47" s="42">
        <f>'Pro 1'!G21</f>
        <v>0</v>
      </c>
      <c r="M47" s="42">
        <f>'Pro 1'!H21</f>
        <v>0</v>
      </c>
      <c r="N47" s="42">
        <f>'Pro 1'!I21</f>
        <v>0</v>
      </c>
      <c r="R47" s="42">
        <f>IF(L47=0,0,O47/L47)*1000</f>
        <v>0</v>
      </c>
      <c r="S47" s="42">
        <f t="shared" si="0"/>
        <v>0</v>
      </c>
      <c r="T47" s="49">
        <f t="shared" si="0"/>
        <v>0</v>
      </c>
    </row>
    <row r="48" spans="4:20" x14ac:dyDescent="0.2">
      <c r="D48" s="91" t="s">
        <v>457</v>
      </c>
      <c r="E48" s="55"/>
      <c r="F48" s="55"/>
      <c r="G48" s="55"/>
      <c r="I48" s="55"/>
      <c r="J48" s="88" t="s">
        <v>526</v>
      </c>
      <c r="K48" s="88" t="s">
        <v>525</v>
      </c>
      <c r="L48" s="42" t="e">
        <f>'Pro 1'!#REF!</f>
        <v>#REF!</v>
      </c>
      <c r="M48" s="42" t="e">
        <f>'Pro 1'!#REF!</f>
        <v>#REF!</v>
      </c>
      <c r="N48" s="42" t="e">
        <f>'Pro 1'!#REF!</f>
        <v>#REF!</v>
      </c>
      <c r="R48" s="42" t="e">
        <f>IF(L48=0,0,O48/L48)*1000</f>
        <v>#REF!</v>
      </c>
      <c r="S48" s="42" t="e">
        <f t="shared" si="0"/>
        <v>#REF!</v>
      </c>
      <c r="T48" s="49" t="e">
        <f t="shared" si="0"/>
        <v>#REF!</v>
      </c>
    </row>
    <row r="49" spans="4:20" x14ac:dyDescent="0.2">
      <c r="D49" s="91" t="s">
        <v>458</v>
      </c>
      <c r="E49" s="55"/>
      <c r="F49" s="55"/>
      <c r="G49" s="55"/>
      <c r="I49" s="55"/>
      <c r="J49" s="88" t="s">
        <v>527</v>
      </c>
      <c r="K49" s="88" t="s">
        <v>524</v>
      </c>
      <c r="L49" s="42">
        <f>'Pro 1'!G22</f>
        <v>0</v>
      </c>
      <c r="M49" s="42">
        <f>'Pro 1'!H22</f>
        <v>0</v>
      </c>
      <c r="N49" s="42">
        <f>'Pro 1'!I22</f>
        <v>0</v>
      </c>
      <c r="R49" s="42">
        <f>IF(L49=0,0,O49/L49)*1000</f>
        <v>0</v>
      </c>
      <c r="S49" s="42">
        <f>IF(M49=0,0,P49/M49)*1000</f>
        <v>0</v>
      </c>
      <c r="T49" s="49">
        <f>IF(N49=0,0,Q49/N49)*1000</f>
        <v>0</v>
      </c>
    </row>
    <row r="50" spans="4:20" x14ac:dyDescent="0.2">
      <c r="D50" s="91" t="s">
        <v>459</v>
      </c>
      <c r="E50" s="56" t="e">
        <f>'Pro 1'!G22+'Pro 1'!#REF!</f>
        <v>#REF!</v>
      </c>
      <c r="F50" s="56" t="e">
        <f>'Pro 1'!H22+'Pro 1'!#REF!</f>
        <v>#REF!</v>
      </c>
      <c r="G50" s="56" t="e">
        <f>'Pro 1'!I22+'Pro 1'!#REF!</f>
        <v>#REF!</v>
      </c>
      <c r="I50" s="59"/>
      <c r="J50" s="88" t="s">
        <v>527</v>
      </c>
      <c r="K50" s="88" t="s">
        <v>525</v>
      </c>
      <c r="L50" s="42" t="e">
        <f>'Pro 1'!#REF!</f>
        <v>#REF!</v>
      </c>
      <c r="M50" s="42" t="e">
        <f>'Pro 1'!#REF!</f>
        <v>#REF!</v>
      </c>
      <c r="N50" s="42" t="e">
        <f>'Pro 1'!#REF!</f>
        <v>#REF!</v>
      </c>
      <c r="R50" s="42" t="e">
        <f t="shared" ref="R50" si="1">IF(L50=0,0,O50/L50)*1000</f>
        <v>#REF!</v>
      </c>
      <c r="S50" s="42" t="e">
        <f t="shared" si="0"/>
        <v>#REF!</v>
      </c>
      <c r="T50" s="49" t="e">
        <f t="shared" si="0"/>
        <v>#REF!</v>
      </c>
    </row>
    <row r="51" spans="4:20" x14ac:dyDescent="0.2">
      <c r="D51" s="92" t="s">
        <v>460</v>
      </c>
      <c r="E51" s="57"/>
      <c r="F51" s="57"/>
      <c r="G51" s="57"/>
      <c r="I51" s="59"/>
      <c r="J51" s="59"/>
      <c r="K51" s="57"/>
      <c r="T51" s="49"/>
    </row>
    <row r="52" spans="4:20" ht="12.75" customHeight="1" x14ac:dyDescent="0.2">
      <c r="D52" s="92" t="s">
        <v>461</v>
      </c>
      <c r="E52" s="57">
        <f>'Pro 1'!G24</f>
        <v>0</v>
      </c>
      <c r="F52" s="57">
        <f>'Pro 1'!H24</f>
        <v>0</v>
      </c>
      <c r="G52" s="57">
        <f>'Pro 1'!I24</f>
        <v>0</v>
      </c>
      <c r="I52" s="57"/>
      <c r="J52" s="57"/>
      <c r="K52" s="57"/>
      <c r="T52" s="49"/>
    </row>
    <row r="53" spans="4:20" x14ac:dyDescent="0.2">
      <c r="D53" s="48"/>
      <c r="E53" s="57"/>
      <c r="F53" s="57"/>
      <c r="G53" s="57"/>
      <c r="I53" s="57"/>
      <c r="J53" s="57"/>
      <c r="K53" s="58"/>
      <c r="T53" s="49"/>
    </row>
    <row r="54" spans="4:20" x14ac:dyDescent="0.2">
      <c r="D54" s="90" t="s">
        <v>462</v>
      </c>
      <c r="E54" s="58"/>
      <c r="F54" s="58"/>
      <c r="G54" s="58"/>
      <c r="I54" s="58"/>
      <c r="J54" s="58"/>
      <c r="K54" s="58"/>
      <c r="T54" s="49"/>
    </row>
    <row r="55" spans="4:20" x14ac:dyDescent="0.2">
      <c r="D55" s="91" t="s">
        <v>463</v>
      </c>
      <c r="E55" s="55"/>
      <c r="F55" s="55"/>
      <c r="G55" s="55"/>
      <c r="I55" s="55"/>
      <c r="J55" s="55"/>
      <c r="K55" s="59"/>
      <c r="T55" s="49"/>
    </row>
    <row r="56" spans="4:20" x14ac:dyDescent="0.2">
      <c r="D56" s="91" t="s">
        <v>464</v>
      </c>
      <c r="E56" s="59">
        <f>'Pro 2'!G41/1000</f>
        <v>0</v>
      </c>
      <c r="F56" s="59">
        <f>'Pro 2'!H41/1000</f>
        <v>0</v>
      </c>
      <c r="G56" s="59">
        <f>'Pro 2'!I41/1000</f>
        <v>0</v>
      </c>
      <c r="I56" s="59"/>
      <c r="J56" s="59"/>
      <c r="K56" s="59"/>
      <c r="T56" s="49"/>
    </row>
    <row r="57" spans="4:20" x14ac:dyDescent="0.2">
      <c r="D57" s="92" t="s">
        <v>465</v>
      </c>
      <c r="E57" s="57"/>
      <c r="F57" s="57"/>
      <c r="G57" s="57"/>
      <c r="I57" s="57"/>
      <c r="J57" s="57"/>
      <c r="K57" s="57"/>
      <c r="T57" s="49"/>
    </row>
    <row r="58" spans="4:20" x14ac:dyDescent="0.2">
      <c r="D58" s="48"/>
      <c r="E58" s="58"/>
      <c r="F58" s="58"/>
      <c r="G58" s="58"/>
      <c r="I58" s="58"/>
      <c r="J58" s="58"/>
      <c r="K58" s="57"/>
      <c r="T58" s="49"/>
    </row>
    <row r="59" spans="4:20" x14ac:dyDescent="0.2">
      <c r="D59" s="90" t="s">
        <v>466</v>
      </c>
      <c r="E59" s="58"/>
      <c r="F59" s="58"/>
      <c r="G59" s="58"/>
      <c r="I59" s="58"/>
      <c r="J59" s="58"/>
      <c r="K59" s="58"/>
      <c r="T59" s="49"/>
    </row>
    <row r="60" spans="4:20" x14ac:dyDescent="0.2">
      <c r="D60" s="91" t="s">
        <v>467</v>
      </c>
      <c r="E60" s="59">
        <f>'Pro 3'!G92</f>
        <v>0</v>
      </c>
      <c r="F60" s="59">
        <f>'Pro 3'!H92</f>
        <v>0</v>
      </c>
      <c r="G60" s="59">
        <f>'Pro 3'!I92</f>
        <v>0</v>
      </c>
      <c r="I60" s="59"/>
      <c r="J60" s="59"/>
      <c r="K60" s="59"/>
      <c r="T60" s="49"/>
    </row>
    <row r="61" spans="4:20" x14ac:dyDescent="0.2">
      <c r="D61" s="91" t="s">
        <v>468</v>
      </c>
      <c r="E61" s="59">
        <f>'Pro 3'!G93</f>
        <v>0</v>
      </c>
      <c r="F61" s="59">
        <f>'Pro 3'!H93</f>
        <v>0</v>
      </c>
      <c r="G61" s="59">
        <f>'Pro 3'!I93</f>
        <v>0</v>
      </c>
      <c r="I61" s="59"/>
      <c r="J61" s="59"/>
      <c r="K61" s="59"/>
      <c r="T61" s="49"/>
    </row>
    <row r="62" spans="4:20" x14ac:dyDescent="0.2">
      <c r="D62" s="90" t="s">
        <v>469</v>
      </c>
      <c r="E62" s="57"/>
      <c r="F62" s="57"/>
      <c r="G62" s="57"/>
      <c r="I62" s="57"/>
      <c r="J62" s="57"/>
      <c r="K62" s="57"/>
      <c r="T62" s="49"/>
    </row>
    <row r="63" spans="4:20" x14ac:dyDescent="0.2">
      <c r="D63" s="91"/>
      <c r="E63" s="58"/>
      <c r="F63" s="58"/>
      <c r="G63" s="58"/>
      <c r="I63" s="58"/>
      <c r="J63" s="58"/>
      <c r="K63" s="58"/>
      <c r="T63" s="49"/>
    </row>
    <row r="64" spans="4:20" x14ac:dyDescent="0.2">
      <c r="D64" s="90" t="s">
        <v>470</v>
      </c>
      <c r="E64" s="58"/>
      <c r="F64" s="58"/>
      <c r="G64" s="58"/>
      <c r="I64" s="58"/>
      <c r="J64" s="58"/>
      <c r="K64" s="58"/>
      <c r="T64" s="49"/>
    </row>
    <row r="65" spans="4:20" x14ac:dyDescent="0.2">
      <c r="D65" s="91" t="s">
        <v>467</v>
      </c>
      <c r="E65" s="59">
        <f>'Pro 3'!G98/1000</f>
        <v>0</v>
      </c>
      <c r="F65" s="59">
        <f>'Pro 3'!H98/1000</f>
        <v>0</v>
      </c>
      <c r="G65" s="59">
        <f>'Pro 3'!I98/1000</f>
        <v>0</v>
      </c>
      <c r="I65" s="59"/>
      <c r="J65" s="59"/>
      <c r="K65" s="59"/>
      <c r="T65" s="49"/>
    </row>
    <row r="66" spans="4:20" x14ac:dyDescent="0.2">
      <c r="D66" s="91" t="s">
        <v>468</v>
      </c>
      <c r="E66" s="59">
        <f>'Pro 3'!G99/1000</f>
        <v>0</v>
      </c>
      <c r="F66" s="59">
        <f>'Pro 3'!H99/1000</f>
        <v>0</v>
      </c>
      <c r="G66" s="59">
        <f>'Pro 3'!I99/1000</f>
        <v>0</v>
      </c>
      <c r="I66" s="59"/>
      <c r="J66" s="59"/>
      <c r="K66" s="59"/>
      <c r="T66" s="49"/>
    </row>
    <row r="67" spans="4:20" x14ac:dyDescent="0.2">
      <c r="D67" s="93" t="s">
        <v>471</v>
      </c>
      <c r="E67" s="57"/>
      <c r="F67" s="57"/>
      <c r="G67" s="57"/>
      <c r="I67" s="57"/>
      <c r="J67" s="57"/>
      <c r="K67" s="57"/>
      <c r="T67" s="49"/>
    </row>
    <row r="68" spans="4:20" x14ac:dyDescent="0.2">
      <c r="D68" s="91"/>
      <c r="E68" s="59"/>
      <c r="F68" s="59"/>
      <c r="G68" s="59"/>
      <c r="I68" s="59"/>
      <c r="J68" s="59"/>
      <c r="K68" s="58"/>
      <c r="T68" s="49"/>
    </row>
    <row r="69" spans="4:20" x14ac:dyDescent="0.2">
      <c r="D69" s="90" t="s">
        <v>531</v>
      </c>
      <c r="E69" s="58"/>
      <c r="F69" s="58"/>
      <c r="G69" s="58"/>
      <c r="I69" s="58"/>
      <c r="J69" s="58"/>
      <c r="K69" s="58"/>
      <c r="T69" s="49"/>
    </row>
    <row r="70" spans="4:20" x14ac:dyDescent="0.2">
      <c r="D70" s="91" t="s">
        <v>368</v>
      </c>
      <c r="E70" s="59">
        <f>'Pro 3'!G104+'Pro 3'!G105</f>
        <v>0</v>
      </c>
      <c r="F70" s="59">
        <f>'Pro 3'!H104+'Pro 3'!H105</f>
        <v>0</v>
      </c>
      <c r="G70" s="59">
        <f>'Pro 3'!I104+'Pro 3'!I105</f>
        <v>0</v>
      </c>
      <c r="I70" s="58"/>
      <c r="J70" s="58"/>
      <c r="K70" s="59"/>
      <c r="T70" s="49"/>
    </row>
    <row r="71" spans="4:20" x14ac:dyDescent="0.2">
      <c r="D71" s="91" t="s">
        <v>371</v>
      </c>
      <c r="E71" s="59">
        <f>'Pro 3'!G106</f>
        <v>0</v>
      </c>
      <c r="F71" s="59">
        <f>'Pro 3'!H106</f>
        <v>0</v>
      </c>
      <c r="G71" s="59">
        <f>'Pro 3'!I106</f>
        <v>0</v>
      </c>
      <c r="I71" s="58"/>
      <c r="J71" s="58"/>
      <c r="K71" s="59"/>
      <c r="T71" s="49"/>
    </row>
    <row r="72" spans="4:20" x14ac:dyDescent="0.2">
      <c r="D72" s="94" t="s">
        <v>532</v>
      </c>
      <c r="I72" s="58"/>
      <c r="J72" s="58"/>
      <c r="K72" s="57"/>
      <c r="T72" s="49"/>
    </row>
    <row r="73" spans="4:20" x14ac:dyDescent="0.2">
      <c r="D73" s="94"/>
      <c r="E73" s="57"/>
      <c r="F73" s="57"/>
      <c r="G73" s="57"/>
      <c r="I73" s="57"/>
      <c r="J73" s="57"/>
      <c r="K73" s="59"/>
      <c r="T73" s="49"/>
    </row>
    <row r="74" spans="4:20" x14ac:dyDescent="0.2">
      <c r="D74" s="94" t="s">
        <v>80</v>
      </c>
      <c r="E74" s="59"/>
      <c r="F74" s="59"/>
      <c r="G74" s="59"/>
      <c r="I74" s="59"/>
      <c r="J74" s="59"/>
      <c r="K74" s="58"/>
      <c r="T74" s="49"/>
    </row>
    <row r="75" spans="4:20" x14ac:dyDescent="0.2">
      <c r="D75" s="91" t="s">
        <v>533</v>
      </c>
      <c r="E75" s="59"/>
      <c r="F75" s="59"/>
      <c r="G75" s="59"/>
      <c r="I75" s="59"/>
      <c r="J75" s="59"/>
      <c r="K75" s="59"/>
      <c r="T75" s="49"/>
    </row>
    <row r="76" spans="4:20" x14ac:dyDescent="0.2">
      <c r="D76" s="100" t="s">
        <v>534</v>
      </c>
      <c r="E76" s="57"/>
      <c r="F76" s="57"/>
      <c r="G76" s="57"/>
      <c r="I76" s="57"/>
      <c r="J76" s="57"/>
      <c r="K76" s="59"/>
      <c r="T76" s="49"/>
    </row>
    <row r="77" spans="4:20" x14ac:dyDescent="0.2">
      <c r="D77" s="91"/>
      <c r="E77" s="59"/>
      <c r="F77" s="59"/>
      <c r="G77" s="59"/>
      <c r="I77" s="59"/>
      <c r="J77" s="59"/>
      <c r="K77" s="59"/>
      <c r="T77" s="49"/>
    </row>
    <row r="78" spans="4:20" x14ac:dyDescent="0.2">
      <c r="D78" s="90" t="s">
        <v>535</v>
      </c>
      <c r="E78" s="59"/>
      <c r="F78" s="59"/>
      <c r="G78" s="59"/>
      <c r="I78" s="59"/>
      <c r="J78" s="59"/>
      <c r="K78" s="59"/>
      <c r="T78" s="49"/>
    </row>
    <row r="79" spans="4:20" x14ac:dyDescent="0.2">
      <c r="D79" s="91" t="s">
        <v>463</v>
      </c>
      <c r="E79" s="59">
        <f>'Pro 2'!G43</f>
        <v>0</v>
      </c>
      <c r="F79" s="59">
        <f>'Pro 2'!H43</f>
        <v>0</v>
      </c>
      <c r="G79" s="59">
        <f>'Pro 2'!I43</f>
        <v>0</v>
      </c>
      <c r="I79" s="59"/>
      <c r="J79" s="59"/>
      <c r="K79" s="59"/>
      <c r="T79" s="49"/>
    </row>
    <row r="80" spans="4:20" x14ac:dyDescent="0.2">
      <c r="D80" s="91" t="s">
        <v>536</v>
      </c>
      <c r="E80" s="59">
        <f>'Pro 2'!G44/1000</f>
        <v>0</v>
      </c>
      <c r="F80" s="59">
        <f>'Pro 2'!H44/1000</f>
        <v>0</v>
      </c>
      <c r="G80" s="59">
        <f>'Pro 2'!I44/1000</f>
        <v>0</v>
      </c>
      <c r="I80" s="59"/>
      <c r="J80" s="59"/>
      <c r="K80" s="57"/>
      <c r="T80" s="49"/>
    </row>
    <row r="81" spans="1:26" x14ac:dyDescent="0.2">
      <c r="D81" s="92" t="s">
        <v>537</v>
      </c>
      <c r="E81" s="57"/>
      <c r="F81" s="57"/>
      <c r="G81" s="57"/>
      <c r="H81" s="57"/>
      <c r="I81" s="57"/>
      <c r="J81" s="57"/>
      <c r="K81" s="59"/>
      <c r="T81" s="49"/>
    </row>
    <row r="82" spans="1:26" x14ac:dyDescent="0.2">
      <c r="D82" s="91"/>
      <c r="E82" s="59"/>
      <c r="F82" s="59"/>
      <c r="G82" s="59"/>
      <c r="H82" s="59"/>
      <c r="I82" s="59"/>
      <c r="J82" s="59"/>
      <c r="K82" s="59"/>
      <c r="T82" s="49"/>
    </row>
    <row r="83" spans="1:26" ht="15" customHeight="1" x14ac:dyDescent="0.2">
      <c r="D83" s="91"/>
      <c r="E83" s="59"/>
      <c r="F83" s="59"/>
      <c r="G83" s="59"/>
      <c r="H83" s="1034" t="s">
        <v>472</v>
      </c>
      <c r="I83" s="1034"/>
      <c r="J83" s="1034"/>
      <c r="K83" s="59"/>
      <c r="T83" s="49"/>
    </row>
    <row r="84" spans="1:26" x14ac:dyDescent="0.2">
      <c r="D84" s="91"/>
      <c r="E84" s="86">
        <v>2022</v>
      </c>
      <c r="F84" s="86">
        <v>2023</v>
      </c>
      <c r="G84" s="86">
        <v>2024</v>
      </c>
      <c r="H84" s="86">
        <v>2025</v>
      </c>
      <c r="I84" s="54">
        <v>2026</v>
      </c>
      <c r="J84" s="54">
        <v>2027</v>
      </c>
      <c r="K84" s="54"/>
      <c r="T84" s="49"/>
    </row>
    <row r="85" spans="1:26" x14ac:dyDescent="0.2">
      <c r="D85" s="95" t="s">
        <v>473</v>
      </c>
      <c r="E85" s="96">
        <f>'Pro 3'!E306/1000</f>
        <v>0</v>
      </c>
      <c r="F85" s="96">
        <f>'Pro 3'!F306/1000</f>
        <v>0</v>
      </c>
      <c r="G85" s="96">
        <f>'Pro 3'!G306/1000</f>
        <v>0</v>
      </c>
      <c r="H85" s="96">
        <f>'Pro 3'!H306/1000</f>
        <v>0</v>
      </c>
      <c r="I85" s="96">
        <f>'Pro 3'!I306/1000</f>
        <v>0</v>
      </c>
      <c r="J85" s="96">
        <f>'Pro 3'!J306/1000</f>
        <v>0</v>
      </c>
      <c r="K85" s="96"/>
      <c r="L85" s="52"/>
      <c r="M85" s="52"/>
      <c r="N85" s="52"/>
      <c r="O85" s="52"/>
      <c r="P85" s="52"/>
      <c r="Q85" s="52"/>
      <c r="R85" s="52"/>
      <c r="S85" s="52"/>
      <c r="T85" s="53"/>
    </row>
    <row r="86" spans="1:26" x14ac:dyDescent="0.2">
      <c r="K86" s="59"/>
    </row>
    <row r="87" spans="1:26" x14ac:dyDescent="0.2">
      <c r="D87" s="102" t="s">
        <v>474</v>
      </c>
      <c r="E87" s="45"/>
      <c r="F87" s="45"/>
      <c r="G87" s="45"/>
      <c r="H87" s="45"/>
      <c r="I87" s="45"/>
      <c r="J87" s="45"/>
      <c r="K87" s="107"/>
      <c r="L87" s="45"/>
      <c r="M87" s="45"/>
      <c r="N87" s="45"/>
      <c r="O87" s="45"/>
      <c r="P87" s="45"/>
      <c r="Q87" s="45"/>
      <c r="R87" s="45"/>
      <c r="S87" s="45"/>
      <c r="T87" s="45"/>
      <c r="U87" s="45"/>
      <c r="V87" s="45"/>
      <c r="W87" s="45"/>
      <c r="X87" s="45"/>
      <c r="Y87" s="45"/>
      <c r="Z87" s="46"/>
    </row>
    <row r="88" spans="1:26" ht="13.5" thickBot="1" x14ac:dyDescent="0.25">
      <c r="D88" s="108" t="s">
        <v>475</v>
      </c>
      <c r="E88" s="60" t="s">
        <v>476</v>
      </c>
      <c r="F88" s="60" t="s">
        <v>477</v>
      </c>
      <c r="G88" s="60" t="s">
        <v>478</v>
      </c>
      <c r="H88" s="60" t="s">
        <v>479</v>
      </c>
      <c r="I88" s="60" t="s">
        <v>480</v>
      </c>
      <c r="J88" s="60" t="s">
        <v>481</v>
      </c>
      <c r="K88" s="61" t="s">
        <v>482</v>
      </c>
      <c r="L88" s="61" t="s">
        <v>538</v>
      </c>
      <c r="M88" s="60" t="s">
        <v>483</v>
      </c>
      <c r="N88" s="60" t="s">
        <v>484</v>
      </c>
      <c r="O88" s="60" t="s">
        <v>539</v>
      </c>
      <c r="P88" s="62" t="s">
        <v>485</v>
      </c>
      <c r="Q88" s="62" t="s">
        <v>486</v>
      </c>
      <c r="R88" s="62" t="s">
        <v>487</v>
      </c>
      <c r="S88" s="62" t="s">
        <v>488</v>
      </c>
      <c r="T88" s="62" t="s">
        <v>489</v>
      </c>
      <c r="U88" s="62" t="s">
        <v>490</v>
      </c>
      <c r="X88" s="42">
        <v>2022</v>
      </c>
      <c r="Y88" s="42">
        <v>2023</v>
      </c>
      <c r="Z88" s="49">
        <v>2024</v>
      </c>
    </row>
    <row r="89" spans="1:26" x14ac:dyDescent="0.2">
      <c r="D89" s="109">
        <f>Intro!D101</f>
        <v>0</v>
      </c>
      <c r="E89" s="110" t="s">
        <v>491</v>
      </c>
      <c r="F89" s="110" t="s">
        <v>492</v>
      </c>
      <c r="G89" s="110" t="s">
        <v>492</v>
      </c>
      <c r="H89" s="110" t="s">
        <v>492</v>
      </c>
      <c r="I89" s="110" t="s">
        <v>493</v>
      </c>
      <c r="J89" s="110" t="s">
        <v>493</v>
      </c>
      <c r="K89" s="110"/>
      <c r="L89" s="110" t="s">
        <v>493</v>
      </c>
      <c r="M89" s="110" t="s">
        <v>495</v>
      </c>
      <c r="N89" s="110" t="s">
        <v>496</v>
      </c>
      <c r="O89" s="110" t="s">
        <v>524</v>
      </c>
      <c r="P89" s="63">
        <f>'Pro 2'!G28</f>
        <v>0</v>
      </c>
      <c r="Q89" s="64">
        <f>'Pro 2'!H28</f>
        <v>0</v>
      </c>
      <c r="R89" s="64">
        <f>'Pro 2'!I28</f>
        <v>0</v>
      </c>
      <c r="S89" s="63">
        <f>'Pro 2'!G29</f>
        <v>0</v>
      </c>
      <c r="T89" s="64">
        <f>'Pro 2'!H29</f>
        <v>0</v>
      </c>
      <c r="U89" s="64">
        <f>'Pro 2'!I29</f>
        <v>0</v>
      </c>
      <c r="W89" s="42" t="s">
        <v>540</v>
      </c>
      <c r="X89" s="42">
        <f>'Pro 2'!G146*0.01</f>
        <v>0</v>
      </c>
      <c r="Y89" s="42">
        <f>'Pro 2'!H146*0.01</f>
        <v>0</v>
      </c>
      <c r="Z89" s="49">
        <f>'Pro 2'!I146*0.01</f>
        <v>0</v>
      </c>
    </row>
    <row r="90" spans="1:26" x14ac:dyDescent="0.2">
      <c r="D90" s="111">
        <f t="shared" ref="D90:E92" si="2">D89</f>
        <v>0</v>
      </c>
      <c r="E90" s="112" t="str">
        <f t="shared" si="2"/>
        <v>1 - Producer</v>
      </c>
      <c r="F90" s="112" t="s">
        <v>492</v>
      </c>
      <c r="G90" s="112" t="s">
        <v>492</v>
      </c>
      <c r="H90" s="112" t="s">
        <v>492</v>
      </c>
      <c r="I90" s="112" t="str">
        <f t="shared" ref="I90:J92" si="3">I89</f>
        <v>DOM</v>
      </c>
      <c r="J90" s="112" t="str">
        <f t="shared" si="3"/>
        <v>DOM</v>
      </c>
      <c r="K90" s="112"/>
      <c r="L90" s="112" t="str">
        <f>L89</f>
        <v>DOM</v>
      </c>
      <c r="M90" s="112" t="s">
        <v>495</v>
      </c>
      <c r="N90" s="112" t="s">
        <v>497</v>
      </c>
      <c r="O90" s="112" t="s">
        <v>524</v>
      </c>
      <c r="P90" s="65">
        <f>'Pro 2'!G31</f>
        <v>0</v>
      </c>
      <c r="Q90" s="112">
        <f>'Pro 2'!H31</f>
        <v>0</v>
      </c>
      <c r="R90" s="112">
        <f>'Pro 2'!I31</f>
        <v>0</v>
      </c>
      <c r="S90" s="65">
        <f>'Pro 2'!G32</f>
        <v>0</v>
      </c>
      <c r="T90" s="112">
        <f>'Pro 2'!H32</f>
        <v>0</v>
      </c>
      <c r="U90" s="112">
        <f>'Pro 2'!I32</f>
        <v>0</v>
      </c>
      <c r="Z90" s="49"/>
    </row>
    <row r="91" spans="1:26" x14ac:dyDescent="0.2">
      <c r="D91" s="113">
        <f t="shared" si="2"/>
        <v>0</v>
      </c>
      <c r="E91" s="114" t="str">
        <f t="shared" si="2"/>
        <v>1 - Producer</v>
      </c>
      <c r="F91" s="114" t="s">
        <v>492</v>
      </c>
      <c r="G91" s="114" t="s">
        <v>492</v>
      </c>
      <c r="H91" s="114" t="s">
        <v>492</v>
      </c>
      <c r="I91" s="114" t="str">
        <f t="shared" si="3"/>
        <v>DOM</v>
      </c>
      <c r="J91" s="114" t="str">
        <f t="shared" si="3"/>
        <v>DOM</v>
      </c>
      <c r="K91" s="114"/>
      <c r="L91" s="114" t="str">
        <f>L90</f>
        <v>DOM</v>
      </c>
      <c r="M91" s="114" t="s">
        <v>495</v>
      </c>
      <c r="N91" s="114" t="s">
        <v>496</v>
      </c>
      <c r="O91" s="114" t="s">
        <v>525</v>
      </c>
      <c r="P91" s="66" t="e">
        <f>'Pro 2'!#REF!</f>
        <v>#REF!</v>
      </c>
      <c r="Q91" s="114" t="e">
        <f>'Pro 2'!#REF!</f>
        <v>#REF!</v>
      </c>
      <c r="R91" s="114" t="e">
        <f>'Pro 2'!#REF!</f>
        <v>#REF!</v>
      </c>
      <c r="S91" s="66" t="e">
        <f>'Pro 2'!#REF!</f>
        <v>#REF!</v>
      </c>
      <c r="T91" s="114" t="e">
        <f>'Pro 2'!#REF!</f>
        <v>#REF!</v>
      </c>
      <c r="U91" s="114" t="e">
        <f>'Pro 2'!#REF!</f>
        <v>#REF!</v>
      </c>
      <c r="Z91" s="49"/>
    </row>
    <row r="92" spans="1:26" x14ac:dyDescent="0.2">
      <c r="D92" s="115">
        <f t="shared" si="2"/>
        <v>0</v>
      </c>
      <c r="E92" s="116" t="str">
        <f t="shared" si="2"/>
        <v>1 - Producer</v>
      </c>
      <c r="F92" s="116" t="s">
        <v>492</v>
      </c>
      <c r="G92" s="116" t="s">
        <v>492</v>
      </c>
      <c r="H92" s="116" t="s">
        <v>492</v>
      </c>
      <c r="I92" s="116" t="str">
        <f t="shared" si="3"/>
        <v>DOM</v>
      </c>
      <c r="J92" s="116" t="str">
        <f t="shared" si="3"/>
        <v>DOM</v>
      </c>
      <c r="K92" s="116"/>
      <c r="L92" s="116" t="str">
        <f>L91</f>
        <v>DOM</v>
      </c>
      <c r="M92" s="116" t="s">
        <v>495</v>
      </c>
      <c r="N92" s="116" t="s">
        <v>497</v>
      </c>
      <c r="O92" s="116" t="s">
        <v>525</v>
      </c>
      <c r="P92" s="117" t="e">
        <f>'Pro 2'!#REF!</f>
        <v>#REF!</v>
      </c>
      <c r="Q92" s="116" t="e">
        <f>'Pro 2'!#REF!</f>
        <v>#REF!</v>
      </c>
      <c r="R92" s="116" t="e">
        <f>'Pro 2'!#REF!</f>
        <v>#REF!</v>
      </c>
      <c r="S92" s="117" t="e">
        <f>'Pro 2'!#REF!</f>
        <v>#REF!</v>
      </c>
      <c r="T92" s="116" t="e">
        <f>'Pro 2'!#REF!</f>
        <v>#REF!</v>
      </c>
      <c r="U92" s="116" t="e">
        <f>'Pro 2'!#REF!</f>
        <v>#REF!</v>
      </c>
      <c r="V92" s="52"/>
      <c r="W92" s="52"/>
      <c r="X92" s="52"/>
      <c r="Y92" s="52"/>
      <c r="Z92" s="53"/>
    </row>
    <row r="93" spans="1:26" x14ac:dyDescent="0.2">
      <c r="L93" s="59"/>
    </row>
    <row r="94" spans="1:26" ht="13.5" thickBot="1" x14ac:dyDescent="0.25">
      <c r="D94" s="102" t="s">
        <v>498</v>
      </c>
      <c r="E94" s="45"/>
      <c r="F94" s="45"/>
      <c r="G94" s="45"/>
      <c r="H94" s="45"/>
      <c r="I94" s="45"/>
      <c r="J94" s="45"/>
      <c r="K94" s="45"/>
      <c r="L94" s="45"/>
      <c r="M94" s="45"/>
      <c r="N94" s="46"/>
    </row>
    <row r="95" spans="1:26" ht="15" customHeight="1" x14ac:dyDescent="0.2">
      <c r="A95" s="42" t="s">
        <v>542</v>
      </c>
      <c r="D95" s="118"/>
      <c r="E95" s="67"/>
      <c r="F95" s="67"/>
      <c r="G95" s="67"/>
      <c r="H95" s="67"/>
      <c r="I95" s="1032" t="s">
        <v>541</v>
      </c>
      <c r="J95" s="1032"/>
      <c r="K95" s="1032"/>
      <c r="L95" s="1032" t="s">
        <v>543</v>
      </c>
      <c r="M95" s="1032"/>
      <c r="N95" s="1033"/>
    </row>
    <row r="96" spans="1:26" ht="12.75" customHeight="1" x14ac:dyDescent="0.2">
      <c r="D96" s="119" t="s">
        <v>475</v>
      </c>
      <c r="E96" s="120" t="s">
        <v>499</v>
      </c>
      <c r="F96" s="120" t="s">
        <v>500</v>
      </c>
      <c r="G96" s="120" t="s">
        <v>501</v>
      </c>
      <c r="H96" s="120" t="s">
        <v>502</v>
      </c>
      <c r="I96" s="121">
        <v>2022</v>
      </c>
      <c r="J96" s="121">
        <v>2023</v>
      </c>
      <c r="K96" s="121">
        <v>2024</v>
      </c>
      <c r="L96" s="121">
        <f>I96</f>
        <v>2022</v>
      </c>
      <c r="M96" s="121">
        <f>J96</f>
        <v>2023</v>
      </c>
      <c r="N96" s="122">
        <f>K96</f>
        <v>2024</v>
      </c>
    </row>
    <row r="97" spans="4:30" x14ac:dyDescent="0.2">
      <c r="D97" s="123">
        <f>D89</f>
        <v>0</v>
      </c>
      <c r="E97" s="124" t="s">
        <v>491</v>
      </c>
      <c r="F97" s="124" t="s">
        <v>434</v>
      </c>
      <c r="G97" s="124" t="s">
        <v>503</v>
      </c>
      <c r="H97" s="68" t="s">
        <v>504</v>
      </c>
      <c r="I97" s="42">
        <f>F8*L97*0.01</f>
        <v>0</v>
      </c>
      <c r="J97" s="42">
        <f t="shared" ref="J97:K101" si="4">G8*M97*0.01</f>
        <v>0</v>
      </c>
      <c r="K97" s="42">
        <f t="shared" si="4"/>
        <v>0</v>
      </c>
      <c r="L97" s="42">
        <f>'Pro 2'!G209</f>
        <v>0</v>
      </c>
      <c r="M97" s="42">
        <f>'Pro 2'!H209</f>
        <v>0</v>
      </c>
      <c r="N97" s="49">
        <f>'Pro 2'!I209</f>
        <v>0</v>
      </c>
    </row>
    <row r="98" spans="4:30" x14ac:dyDescent="0.2">
      <c r="D98" s="125">
        <f>D97</f>
        <v>0</v>
      </c>
      <c r="E98" s="126" t="s">
        <v>491</v>
      </c>
      <c r="F98" s="126" t="str">
        <f t="shared" ref="F98:F101" si="5">F97</f>
        <v>Domestic Sales</v>
      </c>
      <c r="G98" s="126" t="s">
        <v>505</v>
      </c>
      <c r="H98" s="69" t="s">
        <v>506</v>
      </c>
      <c r="I98" s="42">
        <f t="shared" ref="I98:I101" si="6">F9*L98*0.01</f>
        <v>0</v>
      </c>
      <c r="J98" s="42">
        <f t="shared" si="4"/>
        <v>0</v>
      </c>
      <c r="K98" s="42">
        <f t="shared" si="4"/>
        <v>0</v>
      </c>
      <c r="L98" s="42">
        <f>'Pro 2'!G210</f>
        <v>0</v>
      </c>
      <c r="M98" s="42">
        <f>'Pro 2'!H210</f>
        <v>0</v>
      </c>
      <c r="N98" s="49">
        <f>'Pro 2'!I210</f>
        <v>0</v>
      </c>
    </row>
    <row r="99" spans="4:30" x14ac:dyDescent="0.2">
      <c r="D99" s="125">
        <f t="shared" ref="D99:D101" si="7">D98</f>
        <v>0</v>
      </c>
      <c r="E99" s="126" t="s">
        <v>491</v>
      </c>
      <c r="F99" s="126" t="str">
        <f t="shared" si="5"/>
        <v>Domestic Sales</v>
      </c>
      <c r="G99" s="126" t="s">
        <v>507</v>
      </c>
      <c r="H99" s="69" t="s">
        <v>508</v>
      </c>
      <c r="I99" s="42">
        <f t="shared" si="6"/>
        <v>0</v>
      </c>
      <c r="J99" s="42">
        <f t="shared" si="4"/>
        <v>0</v>
      </c>
      <c r="K99" s="42">
        <f t="shared" si="4"/>
        <v>0</v>
      </c>
      <c r="L99" s="42">
        <f>'Pro 2'!G211</f>
        <v>0</v>
      </c>
      <c r="M99" s="42">
        <f>'Pro 2'!H211</f>
        <v>0</v>
      </c>
      <c r="N99" s="49">
        <f>'Pro 2'!I211</f>
        <v>0</v>
      </c>
    </row>
    <row r="100" spans="4:30" x14ac:dyDescent="0.2">
      <c r="D100" s="125">
        <f t="shared" si="7"/>
        <v>0</v>
      </c>
      <c r="E100" s="126" t="s">
        <v>491</v>
      </c>
      <c r="F100" s="126" t="str">
        <f t="shared" si="5"/>
        <v>Domestic Sales</v>
      </c>
      <c r="G100" s="126" t="s">
        <v>509</v>
      </c>
      <c r="H100" s="69" t="s">
        <v>510</v>
      </c>
      <c r="I100" s="42">
        <f t="shared" si="6"/>
        <v>0</v>
      </c>
      <c r="J100" s="42">
        <f t="shared" si="4"/>
        <v>0</v>
      </c>
      <c r="K100" s="42">
        <f t="shared" si="4"/>
        <v>0</v>
      </c>
      <c r="L100" s="42">
        <f>'Pro 2'!G212</f>
        <v>0</v>
      </c>
      <c r="M100" s="42">
        <f>'Pro 2'!H212</f>
        <v>0</v>
      </c>
      <c r="N100" s="49">
        <f>'Pro 2'!I212</f>
        <v>0</v>
      </c>
    </row>
    <row r="101" spans="4:30" x14ac:dyDescent="0.2">
      <c r="D101" s="127">
        <f t="shared" si="7"/>
        <v>0</v>
      </c>
      <c r="E101" s="128" t="s">
        <v>491</v>
      </c>
      <c r="F101" s="128" t="str">
        <f t="shared" si="5"/>
        <v>Domestic Sales</v>
      </c>
      <c r="G101" s="128" t="s">
        <v>511</v>
      </c>
      <c r="H101" s="129" t="s">
        <v>512</v>
      </c>
      <c r="I101" s="52">
        <f t="shared" si="6"/>
        <v>0</v>
      </c>
      <c r="J101" s="52">
        <f t="shared" si="4"/>
        <v>0</v>
      </c>
      <c r="K101" s="52">
        <f t="shared" si="4"/>
        <v>0</v>
      </c>
      <c r="L101" s="52">
        <f>'Pro 2'!G213</f>
        <v>0</v>
      </c>
      <c r="M101" s="52">
        <f>'Pro 2'!H213</f>
        <v>0</v>
      </c>
      <c r="N101" s="53">
        <f>'Pro 2'!I213</f>
        <v>0</v>
      </c>
    </row>
    <row r="104" spans="4:30" x14ac:dyDescent="0.2">
      <c r="D104" s="102" t="s">
        <v>544</v>
      </c>
      <c r="E104" s="45"/>
      <c r="F104" s="45"/>
      <c r="G104" s="45"/>
      <c r="H104" s="45"/>
      <c r="I104" s="45"/>
      <c r="J104" s="45"/>
      <c r="K104" s="45"/>
      <c r="L104" s="45"/>
      <c r="M104" s="45"/>
      <c r="N104" s="45"/>
      <c r="O104" s="45"/>
      <c r="P104" s="1028" t="s">
        <v>528</v>
      </c>
      <c r="Q104" s="1028"/>
      <c r="R104" s="1028"/>
      <c r="S104" s="1028"/>
      <c r="T104" s="1028"/>
      <c r="U104" s="1028"/>
      <c r="V104" s="1028"/>
      <c r="W104" s="1028" t="s">
        <v>554</v>
      </c>
      <c r="X104" s="1028"/>
      <c r="Y104" s="1028"/>
      <c r="Z104" s="1028"/>
      <c r="AA104" s="1028"/>
      <c r="AB104" s="1028"/>
      <c r="AC104" s="1028"/>
      <c r="AD104" s="1029"/>
    </row>
    <row r="105" spans="4:30" ht="25.5" x14ac:dyDescent="0.2">
      <c r="D105" s="130" t="s">
        <v>475</v>
      </c>
      <c r="E105" s="70" t="s">
        <v>476</v>
      </c>
      <c r="F105" s="70" t="s">
        <v>479</v>
      </c>
      <c r="G105" s="70" t="s">
        <v>481</v>
      </c>
      <c r="H105" s="70" t="s">
        <v>482</v>
      </c>
      <c r="I105" s="71" t="s">
        <v>545</v>
      </c>
      <c r="J105" s="71" t="s">
        <v>538</v>
      </c>
      <c r="K105" s="70" t="s">
        <v>513</v>
      </c>
      <c r="L105" s="71" t="s">
        <v>514</v>
      </c>
      <c r="M105" s="70" t="s">
        <v>515</v>
      </c>
      <c r="N105" s="71" t="s">
        <v>483</v>
      </c>
      <c r="O105" s="72" t="s">
        <v>546</v>
      </c>
      <c r="P105" s="72" t="s">
        <v>547</v>
      </c>
      <c r="Q105" s="72" t="s">
        <v>548</v>
      </c>
      <c r="R105" s="72" t="s">
        <v>549</v>
      </c>
      <c r="S105" s="72" t="s">
        <v>550</v>
      </c>
      <c r="T105" s="72" t="s">
        <v>551</v>
      </c>
      <c r="U105" s="72" t="s">
        <v>552</v>
      </c>
      <c r="V105" s="73" t="s">
        <v>553</v>
      </c>
      <c r="W105" s="72" t="s">
        <v>546</v>
      </c>
      <c r="X105" s="72" t="s">
        <v>547</v>
      </c>
      <c r="Y105" s="72" t="s">
        <v>548</v>
      </c>
      <c r="Z105" s="72" t="s">
        <v>549</v>
      </c>
      <c r="AA105" s="72" t="s">
        <v>550</v>
      </c>
      <c r="AB105" s="72" t="s">
        <v>551</v>
      </c>
      <c r="AC105" s="72" t="s">
        <v>552</v>
      </c>
      <c r="AD105" s="131" t="s">
        <v>553</v>
      </c>
    </row>
    <row r="106" spans="4:30" x14ac:dyDescent="0.2">
      <c r="D106" s="132">
        <f>D97</f>
        <v>0</v>
      </c>
      <c r="E106" s="74" t="s">
        <v>491</v>
      </c>
      <c r="F106" s="74" t="s">
        <v>516</v>
      </c>
      <c r="G106" s="74" t="s">
        <v>493</v>
      </c>
      <c r="H106" s="74" t="s">
        <v>493</v>
      </c>
      <c r="I106" s="74" t="s">
        <v>493</v>
      </c>
      <c r="J106" s="74" t="s">
        <v>493</v>
      </c>
      <c r="K106" s="75" t="s">
        <v>517</v>
      </c>
      <c r="L106" s="74">
        <f>'Pro 2'!C222</f>
        <v>0</v>
      </c>
      <c r="M106" s="74" t="e">
        <v>#N/A</v>
      </c>
      <c r="N106" s="74" t="s">
        <v>494</v>
      </c>
      <c r="O106" s="76">
        <f>'Pro 2'!E234</f>
        <v>0</v>
      </c>
      <c r="P106" s="76">
        <f>'Pro 2'!F234</f>
        <v>0</v>
      </c>
      <c r="Q106" s="76">
        <f>'Pro 2'!G234</f>
        <v>0</v>
      </c>
      <c r="R106" s="76">
        <f>'Pro 2'!H234</f>
        <v>0</v>
      </c>
      <c r="S106" s="76">
        <f>'Pro 2'!I234</f>
        <v>0</v>
      </c>
      <c r="T106" s="76">
        <f>'Pro 2'!J234</f>
        <v>0</v>
      </c>
      <c r="U106" s="76">
        <f>'Pro 2'!K234</f>
        <v>0</v>
      </c>
      <c r="V106" s="77">
        <f>'Pro 2'!L234</f>
        <v>0</v>
      </c>
      <c r="W106" s="76">
        <f>'Pro 2'!E235</f>
        <v>0</v>
      </c>
      <c r="X106" s="76">
        <f>'Pro 2'!F235</f>
        <v>0</v>
      </c>
      <c r="Y106" s="76">
        <f>'Pro 2'!G235</f>
        <v>0</v>
      </c>
      <c r="Z106" s="76">
        <f>'Pro 2'!H235</f>
        <v>0</v>
      </c>
      <c r="AA106" s="76">
        <f>'Pro 2'!I235</f>
        <v>0</v>
      </c>
      <c r="AB106" s="76">
        <f>'Pro 2'!J235</f>
        <v>0</v>
      </c>
      <c r="AC106" s="76">
        <f>'Pro 2'!K235</f>
        <v>0</v>
      </c>
      <c r="AD106" s="133">
        <f>'Pro 2'!L235</f>
        <v>0</v>
      </c>
    </row>
    <row r="107" spans="4:30" x14ac:dyDescent="0.2">
      <c r="D107" s="134">
        <f>D106</f>
        <v>0</v>
      </c>
      <c r="E107" s="78" t="s">
        <v>491</v>
      </c>
      <c r="F107" s="78" t="s">
        <v>516</v>
      </c>
      <c r="G107" s="78" t="s">
        <v>493</v>
      </c>
      <c r="H107" s="78" t="s">
        <v>493</v>
      </c>
      <c r="I107" s="78" t="s">
        <v>493</v>
      </c>
      <c r="J107" s="78" t="str">
        <f>J106</f>
        <v>DOM</v>
      </c>
      <c r="K107" s="79" t="s">
        <v>518</v>
      </c>
      <c r="L107" s="78">
        <f>'Pro 2'!E223</f>
        <v>0</v>
      </c>
      <c r="M107" s="78" t="e">
        <v>#N/A</v>
      </c>
      <c r="N107" s="78" t="str">
        <f t="shared" ref="N107:N110" si="8">N106</f>
        <v>Dom</v>
      </c>
      <c r="O107" s="80">
        <f>'Pro 2'!E238</f>
        <v>0</v>
      </c>
      <c r="P107" s="80">
        <f>'Pro 2'!F238</f>
        <v>0</v>
      </c>
      <c r="Q107" s="80">
        <f>'Pro 2'!G238</f>
        <v>0</v>
      </c>
      <c r="R107" s="80">
        <f>'Pro 2'!H238</f>
        <v>0</v>
      </c>
      <c r="S107" s="80">
        <f>'Pro 2'!I238</f>
        <v>0</v>
      </c>
      <c r="T107" s="80">
        <f>'Pro 2'!J238</f>
        <v>0</v>
      </c>
      <c r="U107" s="80">
        <f>'Pro 2'!K238</f>
        <v>0</v>
      </c>
      <c r="V107" s="81">
        <f>'Pro 2'!L238</f>
        <v>0</v>
      </c>
      <c r="W107" s="80">
        <f>'Pro 2'!E239</f>
        <v>0</v>
      </c>
      <c r="X107" s="80">
        <f>'Pro 2'!F239</f>
        <v>0</v>
      </c>
      <c r="Y107" s="80">
        <f>'Pro 2'!G239</f>
        <v>0</v>
      </c>
      <c r="Z107" s="80">
        <f>'Pro 2'!H239</f>
        <v>0</v>
      </c>
      <c r="AA107" s="80">
        <f>'Pro 2'!I239</f>
        <v>0</v>
      </c>
      <c r="AB107" s="80">
        <f>'Pro 2'!J239</f>
        <v>0</v>
      </c>
      <c r="AC107" s="80">
        <f>'Pro 2'!K239</f>
        <v>0</v>
      </c>
      <c r="AD107" s="135">
        <f>'Pro 2'!L239</f>
        <v>0</v>
      </c>
    </row>
    <row r="108" spans="4:30" x14ac:dyDescent="0.2">
      <c r="D108" s="134">
        <f t="shared" ref="D108:D110" si="9">D107</f>
        <v>0</v>
      </c>
      <c r="E108" s="82" t="s">
        <v>491</v>
      </c>
      <c r="F108" s="82" t="s">
        <v>516</v>
      </c>
      <c r="G108" s="82" t="s">
        <v>493</v>
      </c>
      <c r="H108" s="82" t="s">
        <v>493</v>
      </c>
      <c r="I108" s="82" t="s">
        <v>493</v>
      </c>
      <c r="J108" s="82" t="str">
        <f>J107</f>
        <v>DOM</v>
      </c>
      <c r="K108" s="83" t="s">
        <v>519</v>
      </c>
      <c r="L108" s="82">
        <f>'Pro 2'!E224</f>
        <v>0</v>
      </c>
      <c r="M108" s="82" t="e">
        <v>#N/A</v>
      </c>
      <c r="N108" s="82" t="str">
        <f t="shared" si="8"/>
        <v>Dom</v>
      </c>
      <c r="O108" s="84">
        <f>'Pro 2'!E242</f>
        <v>0</v>
      </c>
      <c r="P108" s="84">
        <f>'Pro 2'!F242</f>
        <v>0</v>
      </c>
      <c r="Q108" s="84">
        <f>'Pro 2'!G242</f>
        <v>0</v>
      </c>
      <c r="R108" s="84">
        <f>'Pro 2'!H242</f>
        <v>0</v>
      </c>
      <c r="S108" s="84">
        <f>'Pro 2'!I242</f>
        <v>0</v>
      </c>
      <c r="T108" s="84">
        <f>'Pro 2'!J242</f>
        <v>0</v>
      </c>
      <c r="U108" s="84">
        <f>'Pro 2'!K242</f>
        <v>0</v>
      </c>
      <c r="V108" s="85">
        <f>'Pro 2'!L242</f>
        <v>0</v>
      </c>
      <c r="W108" s="84">
        <f>'Pro 2'!E243</f>
        <v>0</v>
      </c>
      <c r="X108" s="84">
        <f>'Pro 2'!F243</f>
        <v>0</v>
      </c>
      <c r="Y108" s="84">
        <f>'Pro 2'!G243</f>
        <v>0</v>
      </c>
      <c r="Z108" s="84">
        <f>'Pro 2'!H243</f>
        <v>0</v>
      </c>
      <c r="AA108" s="84">
        <f>'Pro 2'!I243</f>
        <v>0</v>
      </c>
      <c r="AB108" s="84">
        <f>'Pro 2'!J243</f>
        <v>0</v>
      </c>
      <c r="AC108" s="84">
        <f>'Pro 2'!K243</f>
        <v>0</v>
      </c>
      <c r="AD108" s="136">
        <f>'Pro 2'!L243</f>
        <v>0</v>
      </c>
    </row>
    <row r="109" spans="4:30" x14ac:dyDescent="0.2">
      <c r="D109" s="134">
        <f t="shared" si="9"/>
        <v>0</v>
      </c>
      <c r="E109" s="78" t="s">
        <v>491</v>
      </c>
      <c r="F109" s="78" t="s">
        <v>516</v>
      </c>
      <c r="G109" s="78" t="s">
        <v>493</v>
      </c>
      <c r="H109" s="78" t="s">
        <v>493</v>
      </c>
      <c r="I109" s="78" t="s">
        <v>493</v>
      </c>
      <c r="J109" s="78" t="str">
        <f>J108</f>
        <v>DOM</v>
      </c>
      <c r="K109" s="79" t="s">
        <v>520</v>
      </c>
      <c r="L109" s="78">
        <f>'Pro 2'!E225</f>
        <v>0</v>
      </c>
      <c r="M109" s="78" t="e">
        <v>#N/A</v>
      </c>
      <c r="N109" s="78" t="str">
        <f t="shared" si="8"/>
        <v>Dom</v>
      </c>
      <c r="O109" s="80">
        <f>'Pro 2'!E246</f>
        <v>0</v>
      </c>
      <c r="P109" s="80">
        <f>'Pro 2'!F246</f>
        <v>0</v>
      </c>
      <c r="Q109" s="80">
        <f>'Pro 2'!G246</f>
        <v>0</v>
      </c>
      <c r="R109" s="80">
        <f>'Pro 2'!H246</f>
        <v>0</v>
      </c>
      <c r="S109" s="80">
        <f>'Pro 2'!I246</f>
        <v>0</v>
      </c>
      <c r="T109" s="80">
        <f>'Pro 2'!J246</f>
        <v>0</v>
      </c>
      <c r="U109" s="80">
        <f>'Pro 2'!K246</f>
        <v>0</v>
      </c>
      <c r="V109" s="81">
        <f>'Pro 2'!L246</f>
        <v>0</v>
      </c>
      <c r="W109" s="80">
        <f>'Pro 2'!E247</f>
        <v>0</v>
      </c>
      <c r="X109" s="80">
        <f>'Pro 2'!F247</f>
        <v>0</v>
      </c>
      <c r="Y109" s="80">
        <f>'Pro 2'!G247</f>
        <v>0</v>
      </c>
      <c r="Z109" s="80">
        <f>'Pro 2'!H247</f>
        <v>0</v>
      </c>
      <c r="AA109" s="80">
        <f>'Pro 2'!I247</f>
        <v>0</v>
      </c>
      <c r="AB109" s="80">
        <f>'Pro 2'!J247</f>
        <v>0</v>
      </c>
      <c r="AC109" s="80">
        <f>'Pro 2'!K247</f>
        <v>0</v>
      </c>
      <c r="AD109" s="135">
        <f>'Pro 2'!L247</f>
        <v>0</v>
      </c>
    </row>
    <row r="110" spans="4:30" x14ac:dyDescent="0.2">
      <c r="D110" s="137">
        <f t="shared" si="9"/>
        <v>0</v>
      </c>
      <c r="E110" s="138" t="s">
        <v>491</v>
      </c>
      <c r="F110" s="138" t="s">
        <v>516</v>
      </c>
      <c r="G110" s="138" t="s">
        <v>493</v>
      </c>
      <c r="H110" s="138" t="s">
        <v>493</v>
      </c>
      <c r="I110" s="138" t="s">
        <v>493</v>
      </c>
      <c r="J110" s="138" t="str">
        <f>J109</f>
        <v>DOM</v>
      </c>
      <c r="K110" s="139" t="s">
        <v>521</v>
      </c>
      <c r="L110" s="138">
        <f>'Pro 2'!E226</f>
        <v>0</v>
      </c>
      <c r="M110" s="138" t="e">
        <v>#N/A</v>
      </c>
      <c r="N110" s="138" t="str">
        <f t="shared" si="8"/>
        <v>Dom</v>
      </c>
      <c r="O110" s="140">
        <f>'Pro 2'!E250</f>
        <v>0</v>
      </c>
      <c r="P110" s="140">
        <f>'Pro 2'!F250</f>
        <v>0</v>
      </c>
      <c r="Q110" s="140">
        <f>'Pro 2'!G250</f>
        <v>0</v>
      </c>
      <c r="R110" s="140">
        <f>'Pro 2'!H250</f>
        <v>0</v>
      </c>
      <c r="S110" s="140">
        <f>'Pro 2'!I250</f>
        <v>0</v>
      </c>
      <c r="T110" s="140">
        <f>'Pro 2'!J250</f>
        <v>0</v>
      </c>
      <c r="U110" s="140">
        <f>'Pro 2'!K250</f>
        <v>0</v>
      </c>
      <c r="V110" s="141">
        <f>'Pro 2'!L250</f>
        <v>0</v>
      </c>
      <c r="W110" s="140">
        <f>'Pro 2'!E251</f>
        <v>0</v>
      </c>
      <c r="X110" s="140">
        <f>'Pro 2'!F251</f>
        <v>0</v>
      </c>
      <c r="Y110" s="140">
        <f>'Pro 2'!G251</f>
        <v>0</v>
      </c>
      <c r="Z110" s="140">
        <f>'Pro 2'!H251</f>
        <v>0</v>
      </c>
      <c r="AA110" s="140">
        <f>'Pro 2'!I251</f>
        <v>0</v>
      </c>
      <c r="AB110" s="140">
        <f>'Pro 2'!J251</f>
        <v>0</v>
      </c>
      <c r="AC110" s="140">
        <f>'Pro 2'!K251</f>
        <v>0</v>
      </c>
      <c r="AD110" s="142">
        <f>'Pro 2'!L251</f>
        <v>0</v>
      </c>
    </row>
  </sheetData>
  <sheetProtection algorithmName="SHA-512" hashValue="PatORc39RO/IcJNF8pNJcSexT4VKsydp0hHRna1pH4EFS+QIZxgrBxvuOCwTFj/hBVxJ690XBzjPzMYOEwjGXA==" saltValue="CZdGfqi+t9LkH2veTALN4Q==" spinCount="100000" sheet="1" objects="1" scenarios="1" selectLockedCells="1"/>
  <mergeCells count="8">
    <mergeCell ref="P104:V104"/>
    <mergeCell ref="W104:AD104"/>
    <mergeCell ref="R43:T43"/>
    <mergeCell ref="I95:K95"/>
    <mergeCell ref="L95:N95"/>
    <mergeCell ref="H83:J83"/>
    <mergeCell ref="L43:N43"/>
    <mergeCell ref="O43:Q4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5D856-5D57-4B5E-A312-4184C6C7D617}">
  <sheetPr>
    <tabColor rgb="FF00B0F0"/>
    <pageSetUpPr fitToPage="1"/>
  </sheetPr>
  <dimension ref="A1:R80"/>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8" width="9.42578125" style="2" customWidth="1"/>
    <col min="19" max="19" width="9.140625" style="2" customWidth="1"/>
    <col min="20" max="16384" width="9.140625" style="2"/>
  </cols>
  <sheetData>
    <row r="1" spans="1:16" x14ac:dyDescent="0.25">
      <c r="O1" s="2" t="s">
        <v>720</v>
      </c>
      <c r="P1" s="2" t="s">
        <v>720</v>
      </c>
    </row>
    <row r="2" spans="1:16" x14ac:dyDescent="0.25">
      <c r="B2" s="20" t="s">
        <v>0</v>
      </c>
      <c r="C2" s="20"/>
      <c r="D2" s="20"/>
      <c r="O2" s="3" t="s">
        <v>166</v>
      </c>
      <c r="P2" s="3" t="s">
        <v>167</v>
      </c>
    </row>
    <row r="3" spans="1:16" x14ac:dyDescent="0.25">
      <c r="B3" s="21"/>
      <c r="C3" s="21"/>
      <c r="D3" s="21"/>
      <c r="O3" s="8" t="s">
        <v>0</v>
      </c>
      <c r="P3" s="8" t="s">
        <v>0</v>
      </c>
    </row>
    <row r="4" spans="1:16" s="8" customFormat="1" x14ac:dyDescent="0.25">
      <c r="A4" s="13"/>
      <c r="B4" s="649" t="str">
        <f>IF(Intro!$G$21="English",O4,P4)</f>
        <v>PRODUCERS' QUESTIONNAIRE</v>
      </c>
      <c r="C4" s="650"/>
      <c r="D4" s="650"/>
      <c r="E4" s="650"/>
      <c r="F4" s="650"/>
      <c r="G4" s="650"/>
      <c r="H4" s="650"/>
      <c r="I4" s="650"/>
      <c r="J4" s="650"/>
      <c r="K4" s="650"/>
      <c r="L4" s="651"/>
      <c r="M4" s="15"/>
      <c r="N4" s="15"/>
      <c r="O4" s="14" t="s">
        <v>630</v>
      </c>
      <c r="P4" s="197" t="s">
        <v>631</v>
      </c>
    </row>
    <row r="5" spans="1:16" s="8" customFormat="1" x14ac:dyDescent="0.25">
      <c r="A5" s="13"/>
      <c r="B5" s="652" t="str">
        <f>Intro!B5</f>
        <v>NQ-2026-004</v>
      </c>
      <c r="C5" s="653"/>
      <c r="D5" s="653"/>
      <c r="E5" s="653"/>
      <c r="F5" s="653"/>
      <c r="G5" s="653"/>
      <c r="H5" s="653"/>
      <c r="I5" s="653"/>
      <c r="J5" s="653"/>
      <c r="K5" s="653"/>
      <c r="L5" s="654"/>
      <c r="M5" s="15"/>
      <c r="N5" s="15"/>
      <c r="O5" s="14"/>
      <c r="P5" s="14"/>
    </row>
    <row r="6" spans="1:16" s="9" customFormat="1" x14ac:dyDescent="0.25">
      <c r="A6" s="13"/>
      <c r="B6" s="657" t="str">
        <f>UPPER(IF(Intro!$G$21="English",Variables!B3,Variables!C3))</f>
        <v>DECORATIVE AND OTHER NON-STRUCTURAL PLYWOOD</v>
      </c>
      <c r="C6" s="658"/>
      <c r="D6" s="658"/>
      <c r="E6" s="658"/>
      <c r="F6" s="658"/>
      <c r="G6" s="658"/>
      <c r="H6" s="658"/>
      <c r="I6" s="658"/>
      <c r="J6" s="658"/>
      <c r="K6" s="658"/>
      <c r="L6" s="659"/>
      <c r="M6" s="14"/>
      <c r="N6" s="14"/>
      <c r="O6" s="10"/>
      <c r="P6" s="10"/>
    </row>
    <row r="7" spans="1:16" s="9" customFormat="1" x14ac:dyDescent="0.25">
      <c r="A7" s="13"/>
      <c r="B7" s="22"/>
      <c r="C7" s="22"/>
      <c r="D7" s="22"/>
      <c r="E7" s="23"/>
      <c r="F7" s="23"/>
      <c r="G7" s="23"/>
      <c r="H7" s="23"/>
      <c r="I7" s="23"/>
      <c r="J7" s="23"/>
      <c r="K7" s="23"/>
      <c r="L7" s="23"/>
      <c r="O7" s="10"/>
      <c r="P7" s="10"/>
    </row>
    <row r="8" spans="1:16" s="8" customFormat="1" x14ac:dyDescent="0.25">
      <c r="A8" s="13"/>
      <c r="B8" s="618" t="str">
        <f>IF(Intro!$G$21="English",O8,P8)</f>
        <v>QUESTIONNAIRE OUTLINE</v>
      </c>
      <c r="C8" s="619"/>
      <c r="D8" s="619" t="str">
        <f>UPPER(IF(Intro!$G$21="English",P8,Q8))</f>
        <v>APERÇU DU QUESTIONNAIRE</v>
      </c>
      <c r="E8" s="619" t="str">
        <f>UPPER(IF(Intro!$G$21="English",Q8,R8))</f>
        <v/>
      </c>
      <c r="F8" s="619" t="str">
        <f>UPPER(IF(Intro!$G$21="English",R8,S8))</f>
        <v/>
      </c>
      <c r="G8" s="619" t="str">
        <f>UPPER(IF(Intro!$G$21="English",S8,T8))</f>
        <v/>
      </c>
      <c r="H8" s="619" t="str">
        <f>UPPER(IF(Intro!$G$21="English",T8,U8))</f>
        <v/>
      </c>
      <c r="I8" s="619" t="str">
        <f>UPPER(IF(Intro!$G$21="English",U8,V8))</f>
        <v/>
      </c>
      <c r="J8" s="619" t="str">
        <f>UPPER(IF(Intro!$G$21="English",V8,W8))</f>
        <v/>
      </c>
      <c r="K8" s="619" t="str">
        <f>UPPER(IF(Intro!$G$21="English",W8,X8))</f>
        <v/>
      </c>
      <c r="L8" s="620" t="str">
        <f>UPPER(IF(Intro!$G$21="English",X8,Y8))</f>
        <v/>
      </c>
      <c r="M8" s="9"/>
      <c r="N8" s="15"/>
      <c r="O8" s="197" t="s">
        <v>632</v>
      </c>
      <c r="P8" s="197" t="s">
        <v>633</v>
      </c>
    </row>
    <row r="9" spans="1:16" x14ac:dyDescent="0.25">
      <c r="B9" s="24"/>
      <c r="C9" s="25"/>
      <c r="D9" s="25"/>
      <c r="E9" s="26"/>
      <c r="F9" s="26"/>
      <c r="G9" s="26"/>
      <c r="H9" s="26"/>
      <c r="I9" s="26"/>
      <c r="J9" s="26"/>
      <c r="K9" s="26"/>
      <c r="L9" s="27"/>
      <c r="M9" s="2"/>
    </row>
    <row r="10" spans="1:16" x14ac:dyDescent="0.25">
      <c r="B10" s="612" t="str">
        <f>IF(Intro!$G$21="English",O10,P10)</f>
        <v xml:space="preserve">This questionnaire is divided into two parts:
</v>
      </c>
      <c r="C10" s="613"/>
      <c r="D10" s="613"/>
      <c r="E10" s="613"/>
      <c r="F10" s="613"/>
      <c r="G10" s="613"/>
      <c r="H10" s="613"/>
      <c r="I10" s="613"/>
      <c r="J10" s="613"/>
      <c r="K10" s="613"/>
      <c r="L10" s="614"/>
      <c r="M10" s="2"/>
      <c r="O10" s="2" t="s">
        <v>320</v>
      </c>
      <c r="P10" s="2" t="s">
        <v>321</v>
      </c>
    </row>
    <row r="11" spans="1:16" x14ac:dyDescent="0.25">
      <c r="B11" s="159"/>
      <c r="C11" s="160"/>
      <c r="D11" s="160"/>
      <c r="E11" s="160"/>
      <c r="F11" s="160"/>
      <c r="G11" s="160"/>
      <c r="H11" s="160"/>
      <c r="I11" s="160"/>
      <c r="J11" s="160"/>
      <c r="K11" s="160"/>
      <c r="L11" s="161"/>
      <c r="M11" s="2"/>
    </row>
    <row r="12" spans="1:16" x14ac:dyDescent="0.25">
      <c r="B12" s="612" t="str">
        <f>IF(Intro!$G$21="English",O12,P12)</f>
        <v xml:space="preserve">PART I (Blue Tabs) - Information requested in this part is public. Requests to treat any of this information as confidential must be fully justified in writing and accompanied by a redacted version for the public record.
</v>
      </c>
      <c r="C12" s="613"/>
      <c r="D12" s="613"/>
      <c r="E12" s="613"/>
      <c r="F12" s="613"/>
      <c r="G12" s="613"/>
      <c r="H12" s="613"/>
      <c r="I12" s="613"/>
      <c r="J12" s="613"/>
      <c r="K12" s="613"/>
      <c r="L12" s="614"/>
      <c r="M12" s="2"/>
      <c r="O12" s="2" t="s">
        <v>323</v>
      </c>
      <c r="P12" s="2" t="s">
        <v>324</v>
      </c>
    </row>
    <row r="13" spans="1:16" x14ac:dyDescent="0.25">
      <c r="B13" s="612"/>
      <c r="C13" s="613"/>
      <c r="D13" s="613"/>
      <c r="E13" s="613"/>
      <c r="F13" s="613"/>
      <c r="G13" s="613"/>
      <c r="H13" s="613"/>
      <c r="I13" s="613"/>
      <c r="J13" s="613"/>
      <c r="K13" s="613"/>
      <c r="L13" s="614"/>
      <c r="M13" s="2"/>
    </row>
    <row r="14" spans="1:16" x14ac:dyDescent="0.25">
      <c r="B14" s="159"/>
      <c r="C14" s="160"/>
      <c r="D14" s="160"/>
      <c r="E14" s="160"/>
      <c r="F14" s="160"/>
      <c r="G14" s="160"/>
      <c r="H14" s="160"/>
      <c r="I14" s="160"/>
      <c r="J14" s="160"/>
      <c r="K14" s="160"/>
      <c r="L14" s="161"/>
      <c r="M14" s="2"/>
    </row>
    <row r="15" spans="1:16" x14ac:dyDescent="0.25">
      <c r="B15" s="612" t="str">
        <f>IF(Intro!$G$21="English",O15,P15)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613"/>
      <c r="D15" s="613"/>
      <c r="E15" s="613"/>
      <c r="F15" s="613"/>
      <c r="G15" s="613"/>
      <c r="H15" s="613"/>
      <c r="I15" s="613"/>
      <c r="J15" s="613"/>
      <c r="K15" s="613"/>
      <c r="L15" s="614"/>
      <c r="M15" s="2"/>
      <c r="O15" s="2" t="s">
        <v>325</v>
      </c>
      <c r="P15" s="2" t="s">
        <v>326</v>
      </c>
    </row>
    <row r="16" spans="1:16" x14ac:dyDescent="0.25">
      <c r="B16" s="612"/>
      <c r="C16" s="613"/>
      <c r="D16" s="613"/>
      <c r="E16" s="613"/>
      <c r="F16" s="613"/>
      <c r="G16" s="613"/>
      <c r="H16" s="613"/>
      <c r="I16" s="613"/>
      <c r="J16" s="613"/>
      <c r="K16" s="613"/>
      <c r="L16" s="614"/>
      <c r="M16" s="2"/>
    </row>
    <row r="17" spans="1:16" x14ac:dyDescent="0.25">
      <c r="B17" s="176"/>
      <c r="C17" s="177"/>
      <c r="D17" s="177"/>
      <c r="E17" s="177"/>
      <c r="F17" s="177"/>
      <c r="G17" s="177"/>
      <c r="H17" s="177"/>
      <c r="I17" s="177"/>
      <c r="J17" s="177"/>
      <c r="K17" s="177"/>
      <c r="L17" s="178"/>
      <c r="M17" s="2"/>
    </row>
    <row r="18" spans="1:16" s="9" customFormat="1" x14ac:dyDescent="0.25">
      <c r="A18" s="13"/>
      <c r="B18" s="22"/>
      <c r="C18" s="22"/>
      <c r="D18" s="22"/>
      <c r="E18" s="23"/>
      <c r="F18" s="23"/>
      <c r="G18" s="23"/>
      <c r="H18" s="23"/>
      <c r="I18" s="23"/>
      <c r="J18" s="23"/>
      <c r="K18" s="23"/>
      <c r="L18" s="23"/>
      <c r="O18" s="10"/>
      <c r="P18" s="10"/>
    </row>
    <row r="19" spans="1:16" s="8" customFormat="1" x14ac:dyDescent="0.25">
      <c r="A19" s="13"/>
      <c r="B19" s="618" t="str">
        <f>UPPER(IF(Intro!$G$21="English",O19,P19))</f>
        <v>ADDITIONAL PRODUCT INFORMATION</v>
      </c>
      <c r="C19" s="619"/>
      <c r="D19" s="619" t="str">
        <f>UPPER(IF(Intro!$G$21="English",P19,Q19))</f>
        <v>RENSEIGNEMENTS ADDITIONNELS SUR LE PRODUIT</v>
      </c>
      <c r="E19" s="619" t="str">
        <f>UPPER(IF(Intro!$G$21="English",Q19,R19))</f>
        <v/>
      </c>
      <c r="F19" s="619" t="str">
        <f>UPPER(IF(Intro!$G$21="English",R19,S19))</f>
        <v/>
      </c>
      <c r="G19" s="619" t="str">
        <f>UPPER(IF(Intro!$G$21="English",S19,T19))</f>
        <v/>
      </c>
      <c r="H19" s="619" t="str">
        <f>UPPER(IF(Intro!$G$21="English",T19,U19))</f>
        <v/>
      </c>
      <c r="I19" s="619" t="str">
        <f>UPPER(IF(Intro!$G$21="English",U19,V19))</f>
        <v/>
      </c>
      <c r="J19" s="619" t="str">
        <f>UPPER(IF(Intro!$G$21="English",V19,W19))</f>
        <v/>
      </c>
      <c r="K19" s="619" t="str">
        <f>UPPER(IF(Intro!$G$21="English",W19,X19))</f>
        <v/>
      </c>
      <c r="L19" s="620" t="str">
        <f>UPPER(IF(Intro!$G$21="English",X19,Y19))</f>
        <v/>
      </c>
      <c r="M19" s="9"/>
      <c r="N19" s="15"/>
      <c r="O19" s="198" t="s">
        <v>634</v>
      </c>
      <c r="P19" s="198" t="s">
        <v>635</v>
      </c>
    </row>
    <row r="20" spans="1:16" x14ac:dyDescent="0.25">
      <c r="B20" s="24"/>
      <c r="C20" s="25"/>
      <c r="D20" s="25"/>
      <c r="E20" s="26"/>
      <c r="F20" s="26"/>
      <c r="G20" s="26"/>
      <c r="H20" s="26"/>
      <c r="I20" s="26"/>
      <c r="J20" s="26"/>
      <c r="K20" s="26"/>
      <c r="L20" s="27"/>
      <c r="M20" s="2"/>
    </row>
    <row r="21" spans="1:16" x14ac:dyDescent="0.25">
      <c r="A21" s="173"/>
      <c r="B21" s="681" t="str">
        <f>IF(Intro!$G$21="English",HYPERLINK(Variables!B17),HYPERLINK(Variables!C17))</f>
        <v>https://www.cbsa-asfc.gc.ca/sima-lmsi/i-e/donp22026/donp22026-in-eng.html#3-2</v>
      </c>
      <c r="C21" s="682"/>
      <c r="D21" s="682"/>
      <c r="E21" s="682"/>
      <c r="F21" s="682"/>
      <c r="G21" s="682"/>
      <c r="H21" s="682"/>
      <c r="I21" s="682"/>
      <c r="J21" s="682"/>
      <c r="K21" s="682"/>
      <c r="L21" s="683"/>
      <c r="M21" s="2"/>
    </row>
    <row r="22" spans="1:16" ht="363.75" customHeight="1" x14ac:dyDescent="0.25">
      <c r="A22" s="173"/>
      <c r="B22" s="612" t="str">
        <f>IF(Intro!$G$21="English",O22,P22)</f>
        <v>Decorative plywood is a flat, multilayered plywood or other veneered panel, consisting of two or more layers or plies of wood veneers and a core, with the face and/or back veneer made of wood and is sometimes referred to as “hardwood plywood”, “plywood” or “engineered wood”.
A veneer is a slice of wood which is cut, sliced or sawed from a log, bolt, or flitch. A bolt is a short log, usually cut to a specific length, that is ready to be processed on a lathe and a flitch is the veneer sliced/cut from a bolt. To be called a “veneer”, the slice of wood would generally be 6mm or less in thickness. The face and back veneers are the outermost veneer of wood on either side of the core irrespective of additional surface coatings or covers as described below.
A core is the layer or layers of one or more material that are situated between the face and back veneers. The core may be composed of a range of materials, including but not limited to veneer core platforms (consisting of one or more veneers of hardwood or softwood), particleboard, or medium-density fiberboard (MDF).
Veneer core platforms are cores composed of hardwood or softwood veneers. A veneer core platform would consist of at least two plies of wood. A veneer core platform may also be called a veneer core blank. A veneer core platform is itself covered by the product definition when the veneer core platforms are for the production of decorative and other non-structural plywood, and are themselves included as subject goods. The other types of cores (e.g. particleboard, MDF) on their own are not covered by the product definition. Decorative plywood that is made with those other cores are covered by the product definition.
Decorative plywood is generally described by the number of plies, overall thickness, width, length, species of face ply, grade of face and back ply, pattern or type of cut of face ply, and type of core.
Other than the products excluded from the product definition, all decorative plywood are included within the scope of these investigations regardless of whether or not the face and/or back veneers are surface coated or covered and whether or not such surface coating or cover obscures the grain, textures, or markings of the wood. Examples of surface coatings and covers include, but are not limited to: ultra-violet light cured polyurethanes; oil or oil-modified or water based polyurethanes; wax; epoxy-ester finishes; moisture-cured urethanes; paints; stains; paper; aluminum; high pressure laminate; MDF; medium density overlay (MDO); and phenolic film. Additionally, the face veneer of decorative plywood may be sanded; smoothed or given a “distressed” appearance through such methods as hand-scraping or wire brushing.
Phenolic Film Faced Plyform (PFF), also known as Phenolic Surface Film Plywood (PSF), as described in the product definition exclusion sections, is excluded from the product definition. This product is a film-faced plywood for use in concrete forming.</v>
      </c>
      <c r="C22" s="613"/>
      <c r="D22" s="613"/>
      <c r="E22" s="613"/>
      <c r="F22" s="613"/>
      <c r="G22" s="613"/>
      <c r="H22" s="613"/>
      <c r="I22" s="613"/>
      <c r="J22" s="613"/>
      <c r="K22" s="613"/>
      <c r="L22" s="614"/>
      <c r="M22" s="2"/>
      <c r="O22" s="19" t="s">
        <v>878</v>
      </c>
      <c r="P22" s="19" t="s">
        <v>879</v>
      </c>
    </row>
    <row r="23" spans="1:16" ht="359.25" customHeight="1" x14ac:dyDescent="0.25">
      <c r="A23" s="173"/>
      <c r="B23" s="612" t="str">
        <f>IF(Intro!$G$21="English",O23,P23)</f>
        <v xml:space="preserve">Decorative plywood is primarily manufactured as a panel. The most common panel sizes are 1219 x 1829 mm (48 x 72 inches), 1219 x 2438 mm (48 x 96 inches), and 1219 x 3048mm (48 x 120 inches). However, these panels are often cut-to-size by the manufacturer in accordance with a customer’s requirements. The most common thicknesses of the panels range from 3.2 mm (1/8 inch) to 38 mm (1.5 inches). Regardless of the actual dimensions, all products that meet the product definition are included as subject goods.
Finished plywood which is used as flooring is excluded from the product definition. Construction-grade plywood used as subflooring is a structural plywood and is not covered by the product definition. However, the underlayment (a thin panel installed above the subflooring) is not structural and is not used as flooring, and therefore falls within the product definition.
Decorative plywood is not required to meet a standard or certification. However, there is a voluntary standard called the American National Standard for Hardwood and Decorative Plywood, ANSI/HPVA HP-1-2024 (current version) that is commonly used in Canada and the United States. In contrast, structural plywood (which is not subject) must be certified as it is intended to be used for construction applications; it is manufactured to meet various CSA standards for structural plywood.
In the context of this product definition, “non-structural” plywood refers to plywood which does not meet the requirements of a “structural” plywood, but is also not “decorative” in its application. These products are sometimes referred to as “utility panels” or “industrial panels”. Generally, these products would not have a thin face veneer. Non-structural plywood is used in applications such as shelving, garage cabinets, or dog houses. This type of plywood could also be used as “framestock” for the frames of sofas. It could even be possible that some manufacturers could use these for the interiors of cabinets or furniture if the plywood will be painted.
Decorative plywood is produced on a custom basis. The production process is flexible and can produce goods to exact customer specifications. While some distributors may stock inventory for purchase by end-users, the typical purchase of decorative plywood is made in advance of production, on a spot (as opposed to contractual) basis.
As decorative plywood is typically used for decorative purposes, the appearance of the face ply, and, where exposed, the back ply, is often an important feature of the plywood. For this reason, grades are assigned to the face and back plies which encompass such characteristics as colour streaks or spots, colour variations, burls, and pin knots. Some manufacturers offer proprietary or custom grades. However, the consensus grading standards are set forth in ANSI/HPVA HP-1-2024.
</v>
      </c>
      <c r="C23" s="613"/>
      <c r="D23" s="613"/>
      <c r="E23" s="613"/>
      <c r="F23" s="613"/>
      <c r="G23" s="613"/>
      <c r="H23" s="613"/>
      <c r="I23" s="613"/>
      <c r="J23" s="613"/>
      <c r="K23" s="613"/>
      <c r="L23" s="614"/>
      <c r="M23" s="2"/>
      <c r="O23" s="19" t="s">
        <v>880</v>
      </c>
      <c r="P23" s="19" t="s">
        <v>881</v>
      </c>
    </row>
    <row r="24" spans="1:16" ht="246.75" customHeight="1" x14ac:dyDescent="0.25">
      <c r="A24" s="173"/>
      <c r="B24" s="612" t="str">
        <f>IF(Intro!$G$21="English",O24,P24)</f>
        <v>The face ply is the side of the product that is exposed to view after installation. Face grades are delineated as “AA”, “A”, “B”, “C”, “D” and “E”, where “AA” would be considered the most aesthetically pleasing in appearance with no imperfections in the appearance and “E” would be the least aesthetically pleasing veneer face (e.g. lots of knots in the wood). A veneer face with a higher grade (e.g. “AA”) would generally entail a higher price compared to a veneer face with a lower grade (e.g. “E”). Wood species commonly used for the face veneer include ash, oak, birch, maple, cherry, pine, walnut, poplar, alder and numerous tropical hardwood species such as meranti, mahogany and Brazilian Cherry (also referred to as Jatoba). Bamboo may also be used for the face ply. Back grades are delineated as “1”, “2”, “3” or “4” (also listed in descending order of quality of grade).
Decorative plywood is generally made from hardwood trees (i.e., deciduous or non-coniferous trees), but may also be made from softwood trees. Structural or construction plywood is generally made from softwood trees (i.e., coniferous trees).
The manner in which a log is cut determines the appearance of the wood grain in the resulting veneers. This is of particular importance for the face ply, and where exposed, the back ply. The most common cuts for decorative plywood are rotary, quarter sliced, plain-cut (or flat-cut), and rift-cut.</v>
      </c>
      <c r="C24" s="613"/>
      <c r="D24" s="613"/>
      <c r="E24" s="613"/>
      <c r="F24" s="613"/>
      <c r="G24" s="613"/>
      <c r="H24" s="613"/>
      <c r="I24" s="613"/>
      <c r="J24" s="613"/>
      <c r="K24" s="613"/>
      <c r="L24" s="614"/>
      <c r="M24" s="2"/>
      <c r="O24" s="19" t="s">
        <v>882</v>
      </c>
      <c r="P24" s="19" t="s">
        <v>883</v>
      </c>
    </row>
    <row r="25" spans="1:16" x14ac:dyDescent="0.25">
      <c r="B25" s="176"/>
      <c r="C25" s="177"/>
      <c r="D25" s="177"/>
      <c r="E25" s="177"/>
      <c r="F25" s="177"/>
      <c r="G25" s="177"/>
      <c r="H25" s="177"/>
      <c r="I25" s="177"/>
      <c r="J25" s="177"/>
      <c r="K25" s="177"/>
      <c r="L25" s="178"/>
      <c r="M25" s="2"/>
    </row>
    <row r="26" spans="1:16" s="9" customFormat="1" x14ac:dyDescent="0.25">
      <c r="A26" s="13"/>
      <c r="B26" s="22"/>
      <c r="C26" s="22"/>
      <c r="D26" s="22"/>
      <c r="E26" s="23"/>
      <c r="F26" s="23"/>
      <c r="G26" s="23"/>
      <c r="H26" s="23"/>
      <c r="I26" s="23"/>
      <c r="J26" s="23"/>
      <c r="K26" s="23"/>
      <c r="L26" s="23"/>
      <c r="O26" s="10"/>
      <c r="P26" s="10"/>
    </row>
    <row r="27" spans="1:16" s="8" customFormat="1" x14ac:dyDescent="0.25">
      <c r="A27" s="13"/>
      <c r="B27" s="618" t="str">
        <f>IF(Intro!$G$21="English",O27,P27)</f>
        <v>CUSTOMS TARIFF</v>
      </c>
      <c r="C27" s="619"/>
      <c r="D27" s="619" t="str">
        <f>UPPER(IF(Intro!$G$21="English",P27,Q27))</f>
        <v>TARIF DES DOUANES</v>
      </c>
      <c r="E27" s="619" t="str">
        <f>UPPER(IF(Intro!$G$21="English",Q27,R27))</f>
        <v/>
      </c>
      <c r="F27" s="619" t="str">
        <f>UPPER(IF(Intro!$G$21="English",R27,S27))</f>
        <v/>
      </c>
      <c r="G27" s="619" t="str">
        <f>UPPER(IF(Intro!$G$21="English",S27,T27))</f>
        <v/>
      </c>
      <c r="H27" s="619" t="str">
        <f>UPPER(IF(Intro!$G$21="English",T27,U27))</f>
        <v/>
      </c>
      <c r="I27" s="619" t="str">
        <f>UPPER(IF(Intro!$G$21="English",U27,V27))</f>
        <v/>
      </c>
      <c r="J27" s="619" t="str">
        <f>UPPER(IF(Intro!$G$21="English",V27,W27))</f>
        <v/>
      </c>
      <c r="K27" s="619" t="str">
        <f>UPPER(IF(Intro!$G$21="English",W27,X27))</f>
        <v/>
      </c>
      <c r="L27" s="620" t="str">
        <f>UPPER(IF(Intro!$G$21="English",X27,Y27))</f>
        <v/>
      </c>
      <c r="M27" s="9"/>
      <c r="N27" s="15"/>
      <c r="O27" s="14" t="s">
        <v>130</v>
      </c>
      <c r="P27" s="14" t="s">
        <v>131</v>
      </c>
    </row>
    <row r="28" spans="1:16" x14ac:dyDescent="0.25">
      <c r="B28" s="24"/>
      <c r="C28" s="25"/>
      <c r="D28" s="25"/>
      <c r="E28" s="26"/>
      <c r="F28" s="26"/>
      <c r="G28" s="26"/>
      <c r="H28" s="26"/>
      <c r="I28" s="26"/>
      <c r="J28" s="26"/>
      <c r="K28" s="26"/>
      <c r="L28" s="27"/>
      <c r="M28" s="2"/>
    </row>
    <row r="29" spans="1:16" x14ac:dyDescent="0.25">
      <c r="B29" s="634" t="str">
        <f>IF(Intro!$G$21="English",O29,P29)</f>
        <v>The goods are commonly classified in the Customs Tariff under the following Harmonized Commodity Description and Coding System (HS) numbers:</v>
      </c>
      <c r="C29" s="635"/>
      <c r="D29" s="635"/>
      <c r="E29" s="635"/>
      <c r="F29" s="635"/>
      <c r="G29" s="635"/>
      <c r="H29" s="635"/>
      <c r="I29" s="635"/>
      <c r="J29" s="635"/>
      <c r="K29" s="635"/>
      <c r="L29" s="636"/>
      <c r="M29" s="2"/>
      <c r="O29" s="2" t="s">
        <v>789</v>
      </c>
      <c r="P29" s="2" t="s">
        <v>664</v>
      </c>
    </row>
    <row r="30" spans="1:16" x14ac:dyDescent="0.25">
      <c r="A30" s="12" t="s">
        <v>555</v>
      </c>
      <c r="B30" s="164"/>
      <c r="C30" s="151"/>
      <c r="D30" s="151"/>
      <c r="E30" s="151"/>
      <c r="F30" s="151"/>
      <c r="G30" s="151"/>
      <c r="H30" s="151"/>
      <c r="I30" s="151"/>
      <c r="J30" s="151"/>
      <c r="K30" s="151"/>
      <c r="L30" s="162"/>
      <c r="M30" s="2"/>
    </row>
    <row r="31" spans="1:16" x14ac:dyDescent="0.25">
      <c r="B31" s="670"/>
      <c r="C31" s="671"/>
      <c r="D31" s="672" t="str">
        <f>Variables!B20</f>
        <v>4412.10.00.00,  4412.39.00.21,
4412.31.00.00, 4412.39.00.22,
4412.33.00.10, 4412.39.00.23,
4412.33.00.20,  4412.39.00.90,
4412.33.00.30,  4412.91.00.00,
4412.33.00.90,  4412.92.00.00,
4412.34.00.00,  4412.99.00.00,
4412.39.00.10</v>
      </c>
      <c r="E31" s="673"/>
      <c r="F31" s="673"/>
      <c r="G31" s="673"/>
      <c r="H31" s="673"/>
      <c r="I31" s="673"/>
      <c r="J31" s="674"/>
      <c r="K31" s="151"/>
      <c r="L31" s="162"/>
      <c r="M31" s="2"/>
      <c r="O31" s="2" t="str">
        <f>"Prior to "&amp;Variables!B19&amp;":"</f>
        <v>Prior to Date of change:</v>
      </c>
      <c r="P31" s="2" t="str">
        <f>"Avant le "&amp;Variables!C19&amp;":"</f>
        <v>Avant le Date of change:</v>
      </c>
    </row>
    <row r="32" spans="1:16" x14ac:dyDescent="0.25">
      <c r="B32" s="670"/>
      <c r="C32" s="671"/>
      <c r="D32" s="675"/>
      <c r="E32" s="676"/>
      <c r="F32" s="676"/>
      <c r="G32" s="676"/>
      <c r="H32" s="676"/>
      <c r="I32" s="676"/>
      <c r="J32" s="677"/>
      <c r="K32" s="151"/>
      <c r="L32" s="162"/>
      <c r="M32" s="2"/>
    </row>
    <row r="33" spans="1:16" x14ac:dyDescent="0.25">
      <c r="B33" s="670"/>
      <c r="C33" s="671"/>
      <c r="D33" s="675"/>
      <c r="E33" s="676"/>
      <c r="F33" s="676"/>
      <c r="G33" s="676"/>
      <c r="H33" s="676"/>
      <c r="I33" s="676"/>
      <c r="J33" s="677"/>
      <c r="K33" s="151"/>
      <c r="L33" s="162"/>
      <c r="M33" s="2"/>
    </row>
    <row r="34" spans="1:16" x14ac:dyDescent="0.25">
      <c r="B34" s="670"/>
      <c r="C34" s="671"/>
      <c r="D34" s="675"/>
      <c r="E34" s="676"/>
      <c r="F34" s="676"/>
      <c r="G34" s="676"/>
      <c r="H34" s="676"/>
      <c r="I34" s="676"/>
      <c r="J34" s="677"/>
      <c r="K34" s="151"/>
      <c r="L34" s="162"/>
      <c r="M34" s="2"/>
    </row>
    <row r="35" spans="1:16" x14ac:dyDescent="0.25">
      <c r="B35" s="670"/>
      <c r="C35" s="671"/>
      <c r="D35" s="675"/>
      <c r="E35" s="676"/>
      <c r="F35" s="676"/>
      <c r="G35" s="676"/>
      <c r="H35" s="676"/>
      <c r="I35" s="676"/>
      <c r="J35" s="677"/>
      <c r="K35" s="151"/>
      <c r="L35" s="162"/>
      <c r="M35" s="2"/>
    </row>
    <row r="36" spans="1:16" x14ac:dyDescent="0.25">
      <c r="B36" s="670"/>
      <c r="C36" s="671"/>
      <c r="D36" s="675"/>
      <c r="E36" s="676"/>
      <c r="F36" s="676"/>
      <c r="G36" s="676"/>
      <c r="H36" s="676"/>
      <c r="I36" s="676"/>
      <c r="J36" s="677"/>
      <c r="K36" s="151"/>
      <c r="L36" s="162"/>
      <c r="M36" s="2"/>
    </row>
    <row r="37" spans="1:16" x14ac:dyDescent="0.25">
      <c r="B37" s="670"/>
      <c r="C37" s="671"/>
      <c r="D37" s="675"/>
      <c r="E37" s="676"/>
      <c r="F37" s="676"/>
      <c r="G37" s="676"/>
      <c r="H37" s="676"/>
      <c r="I37" s="676"/>
      <c r="J37" s="677"/>
      <c r="K37" s="151"/>
      <c r="L37" s="162"/>
      <c r="M37" s="2"/>
    </row>
    <row r="38" spans="1:16" x14ac:dyDescent="0.25">
      <c r="B38" s="670"/>
      <c r="C38" s="671"/>
      <c r="D38" s="675"/>
      <c r="E38" s="676"/>
      <c r="F38" s="676"/>
      <c r="G38" s="676"/>
      <c r="H38" s="676"/>
      <c r="I38" s="676"/>
      <c r="J38" s="677"/>
      <c r="K38" s="151"/>
      <c r="L38" s="162"/>
      <c r="M38" s="2"/>
    </row>
    <row r="39" spans="1:16" x14ac:dyDescent="0.25">
      <c r="B39" s="670"/>
      <c r="C39" s="671"/>
      <c r="D39" s="675"/>
      <c r="E39" s="676"/>
      <c r="F39" s="676"/>
      <c r="G39" s="676"/>
      <c r="H39" s="676"/>
      <c r="I39" s="676"/>
      <c r="J39" s="677"/>
      <c r="K39" s="151"/>
      <c r="L39" s="162"/>
      <c r="M39" s="2"/>
    </row>
    <row r="40" spans="1:16" x14ac:dyDescent="0.25">
      <c r="B40" s="670"/>
      <c r="C40" s="671"/>
      <c r="D40" s="678"/>
      <c r="E40" s="679"/>
      <c r="F40" s="679"/>
      <c r="G40" s="679"/>
      <c r="H40" s="679"/>
      <c r="I40" s="679"/>
      <c r="J40" s="680"/>
      <c r="K40" s="151"/>
      <c r="L40" s="162"/>
      <c r="M40" s="2"/>
    </row>
    <row r="41" spans="1:16" x14ac:dyDescent="0.25">
      <c r="B41" s="176"/>
      <c r="C41" s="177"/>
      <c r="D41" s="177"/>
      <c r="E41" s="177"/>
      <c r="F41" s="177"/>
      <c r="G41" s="177"/>
      <c r="H41" s="177"/>
      <c r="I41" s="177"/>
      <c r="J41" s="177"/>
      <c r="K41" s="177"/>
      <c r="L41" s="178"/>
      <c r="M41" s="2"/>
    </row>
    <row r="42" spans="1:16" s="9" customFormat="1" x14ac:dyDescent="0.25">
      <c r="A42" s="13"/>
      <c r="B42" s="22"/>
      <c r="C42" s="22"/>
      <c r="D42" s="22"/>
      <c r="E42" s="23"/>
      <c r="F42" s="23"/>
      <c r="G42" s="23"/>
      <c r="H42" s="23"/>
      <c r="I42" s="23"/>
      <c r="J42" s="23"/>
      <c r="K42" s="23"/>
      <c r="L42" s="23"/>
      <c r="O42" s="10"/>
      <c r="P42" s="10"/>
    </row>
    <row r="43" spans="1:16" s="8" customFormat="1" x14ac:dyDescent="0.25">
      <c r="A43" s="13"/>
      <c r="B43" s="618" t="str">
        <f>(IF(Intro!$G$21="English",O43,P43))</f>
        <v>GLOSSARY</v>
      </c>
      <c r="C43" s="619"/>
      <c r="D43" s="619" t="s">
        <v>658</v>
      </c>
      <c r="E43" s="619" t="s">
        <v>663</v>
      </c>
      <c r="F43" s="619" t="s">
        <v>663</v>
      </c>
      <c r="G43" s="619" t="s">
        <v>663</v>
      </c>
      <c r="H43" s="619" t="s">
        <v>663</v>
      </c>
      <c r="I43" s="619" t="s">
        <v>663</v>
      </c>
      <c r="J43" s="619" t="s">
        <v>663</v>
      </c>
      <c r="K43" s="619" t="s">
        <v>663</v>
      </c>
      <c r="L43" s="620" t="s">
        <v>663</v>
      </c>
      <c r="M43" s="9"/>
      <c r="N43" s="15"/>
      <c r="O43" s="14" t="s">
        <v>657</v>
      </c>
      <c r="P43" s="14" t="s">
        <v>658</v>
      </c>
    </row>
    <row r="44" spans="1:16" x14ac:dyDescent="0.25">
      <c r="B44" s="689" t="str">
        <f>IF(Intro!$G$21="English",O44,P44)</f>
        <v>Cost of goods manufactured</v>
      </c>
      <c r="C44" s="690"/>
      <c r="D44" s="686" t="str">
        <f>IF(Intro!$G$21="English",O45,P45)</f>
        <v xml:space="preserve">Costs that are directly tied to the production of the goods, such as the cost of labour, materials, and manufacturing overhead. It excludes indirect expenses such as distribution costs and sales force costs. </v>
      </c>
      <c r="E44" s="635"/>
      <c r="F44" s="635"/>
      <c r="G44" s="635"/>
      <c r="H44" s="635"/>
      <c r="I44" s="635"/>
      <c r="J44" s="635"/>
      <c r="K44" s="635"/>
      <c r="L44" s="636"/>
      <c r="M44" s="2"/>
      <c r="O44" s="2" t="s">
        <v>366</v>
      </c>
      <c r="P44" s="2" t="s">
        <v>253</v>
      </c>
    </row>
    <row r="45" spans="1:16" x14ac:dyDescent="0.25">
      <c r="B45" s="689"/>
      <c r="C45" s="690"/>
      <c r="D45" s="686"/>
      <c r="E45" s="635"/>
      <c r="F45" s="635"/>
      <c r="G45" s="635"/>
      <c r="H45" s="635"/>
      <c r="I45" s="635"/>
      <c r="J45" s="635"/>
      <c r="K45" s="635"/>
      <c r="L45" s="636"/>
      <c r="M45" s="2"/>
      <c r="O45" s="2" t="s">
        <v>726</v>
      </c>
      <c r="P45" s="2" t="s">
        <v>727</v>
      </c>
    </row>
    <row r="46" spans="1:16" x14ac:dyDescent="0.25">
      <c r="B46" s="691"/>
      <c r="C46" s="692"/>
      <c r="D46" s="693"/>
      <c r="E46" s="578"/>
      <c r="F46" s="578"/>
      <c r="G46" s="578"/>
      <c r="H46" s="578"/>
      <c r="I46" s="578"/>
      <c r="J46" s="578"/>
      <c r="K46" s="578"/>
      <c r="L46" s="694"/>
      <c r="M46" s="2"/>
    </row>
    <row r="47" spans="1:16" x14ac:dyDescent="0.25">
      <c r="B47" s="687" t="str">
        <f>IF(Intro!$G$21="English",O47,P47)</f>
        <v>Cost of goods sold</v>
      </c>
      <c r="C47" s="688"/>
      <c r="D47" s="684" t="str">
        <f>IF(Intro!$G$21="English",O48,P48)</f>
        <v xml:space="preserve">The direct costs attributable to the production of the goods sold by a company. This amount includes costs that are directly tied to the production of the goods, such as the cost of labour, materials, and manufacturing overhead (cost of goods manufactured). It excludes indirect expenses such as distribution costs and sales force costs. </v>
      </c>
      <c r="E47" s="575"/>
      <c r="F47" s="575"/>
      <c r="G47" s="575"/>
      <c r="H47" s="575"/>
      <c r="I47" s="575"/>
      <c r="J47" s="575"/>
      <c r="K47" s="575"/>
      <c r="L47" s="685"/>
      <c r="M47" s="2"/>
      <c r="O47" s="2" t="s">
        <v>367</v>
      </c>
      <c r="P47" s="2" t="s">
        <v>48</v>
      </c>
    </row>
    <row r="48" spans="1:16" x14ac:dyDescent="0.25">
      <c r="B48" s="689"/>
      <c r="C48" s="690"/>
      <c r="D48" s="686"/>
      <c r="E48" s="635"/>
      <c r="F48" s="635"/>
      <c r="G48" s="635"/>
      <c r="H48" s="635"/>
      <c r="I48" s="635"/>
      <c r="J48" s="635"/>
      <c r="K48" s="635"/>
      <c r="L48" s="636"/>
      <c r="M48" s="2"/>
      <c r="O48" s="2" t="s">
        <v>380</v>
      </c>
      <c r="P48" s="2" t="s">
        <v>697</v>
      </c>
    </row>
    <row r="49" spans="2:16" x14ac:dyDescent="0.25">
      <c r="B49" s="689"/>
      <c r="C49" s="690"/>
      <c r="D49" s="686"/>
      <c r="E49" s="635"/>
      <c r="F49" s="635"/>
      <c r="G49" s="635"/>
      <c r="H49" s="635"/>
      <c r="I49" s="635"/>
      <c r="J49" s="635"/>
      <c r="K49" s="635"/>
      <c r="L49" s="636"/>
      <c r="M49" s="2"/>
    </row>
    <row r="50" spans="2:16" x14ac:dyDescent="0.25">
      <c r="B50" s="691"/>
      <c r="C50" s="692"/>
      <c r="D50" s="693"/>
      <c r="E50" s="578"/>
      <c r="F50" s="578"/>
      <c r="G50" s="578"/>
      <c r="H50" s="578"/>
      <c r="I50" s="578"/>
      <c r="J50" s="578"/>
      <c r="K50" s="578"/>
      <c r="L50" s="694"/>
      <c r="M50" s="2"/>
    </row>
    <row r="51" spans="2:16" x14ac:dyDescent="0.25">
      <c r="B51" s="687" t="str">
        <f>IF(Intro!$G$21="English",O51,P51)</f>
        <v>Delivery costs</v>
      </c>
      <c r="C51" s="688"/>
      <c r="D51" s="684" t="str">
        <f>IF(Intro!$G$21="English",O52,P52)</f>
        <v>The freight, handling, and insurance incurred by your firm from the point of direct shipment in Canada and included in the selling price or an estimate of such delivery costs incurred by your customers.</v>
      </c>
      <c r="E51" s="575"/>
      <c r="F51" s="575"/>
      <c r="G51" s="575"/>
      <c r="H51" s="575"/>
      <c r="I51" s="575"/>
      <c r="J51" s="575"/>
      <c r="K51" s="575"/>
      <c r="L51" s="685"/>
      <c r="M51" s="2"/>
      <c r="O51" s="2" t="s">
        <v>721</v>
      </c>
      <c r="P51" s="2" t="s">
        <v>722</v>
      </c>
    </row>
    <row r="52" spans="2:16" x14ac:dyDescent="0.25">
      <c r="B52" s="689"/>
      <c r="C52" s="690"/>
      <c r="D52" s="686"/>
      <c r="E52" s="635"/>
      <c r="F52" s="635"/>
      <c r="G52" s="635"/>
      <c r="H52" s="635"/>
      <c r="I52" s="635"/>
      <c r="J52" s="635"/>
      <c r="K52" s="635"/>
      <c r="L52" s="636"/>
      <c r="M52" s="2"/>
      <c r="O52" s="2" t="s">
        <v>723</v>
      </c>
      <c r="P52" s="1" t="s">
        <v>724</v>
      </c>
    </row>
    <row r="53" spans="2:16" x14ac:dyDescent="0.25">
      <c r="B53" s="691"/>
      <c r="C53" s="692"/>
      <c r="D53" s="693"/>
      <c r="E53" s="578"/>
      <c r="F53" s="578"/>
      <c r="G53" s="578"/>
      <c r="H53" s="578"/>
      <c r="I53" s="578"/>
      <c r="J53" s="578"/>
      <c r="K53" s="578"/>
      <c r="L53" s="694"/>
      <c r="M53" s="2"/>
    </row>
    <row r="54" spans="2:16" x14ac:dyDescent="0.25">
      <c r="B54" s="687" t="str">
        <f>IF(Intro!$G$21="English",O54,P54)</f>
        <v>Direct employment</v>
      </c>
      <c r="C54" s="688"/>
      <c r="D54" s="684" t="str">
        <f>IF(Intro!$G$21="English",O55,P55)</f>
        <v>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v>
      </c>
      <c r="E54" s="575"/>
      <c r="F54" s="575"/>
      <c r="G54" s="575"/>
      <c r="H54" s="575"/>
      <c r="I54" s="575"/>
      <c r="J54" s="575"/>
      <c r="K54" s="575"/>
      <c r="L54" s="685"/>
      <c r="M54" s="2"/>
      <c r="O54" s="2" t="s">
        <v>368</v>
      </c>
      <c r="P54" s="2" t="s">
        <v>375</v>
      </c>
    </row>
    <row r="55" spans="2:16" x14ac:dyDescent="0.25">
      <c r="B55" s="689"/>
      <c r="C55" s="690"/>
      <c r="D55" s="686"/>
      <c r="E55" s="635"/>
      <c r="F55" s="635"/>
      <c r="G55" s="635"/>
      <c r="H55" s="635"/>
      <c r="I55" s="635"/>
      <c r="J55" s="635"/>
      <c r="K55" s="635"/>
      <c r="L55" s="636"/>
      <c r="M55" s="2"/>
      <c r="O55" s="2" t="s">
        <v>729</v>
      </c>
      <c r="P55" s="2" t="s">
        <v>728</v>
      </c>
    </row>
    <row r="56" spans="2:16" x14ac:dyDescent="0.25">
      <c r="B56" s="689"/>
      <c r="C56" s="690"/>
      <c r="D56" s="686"/>
      <c r="E56" s="635"/>
      <c r="F56" s="635"/>
      <c r="G56" s="635"/>
      <c r="H56" s="635"/>
      <c r="I56" s="635"/>
      <c r="J56" s="635"/>
      <c r="K56" s="635"/>
      <c r="L56" s="636"/>
      <c r="M56" s="2"/>
    </row>
    <row r="57" spans="2:16" x14ac:dyDescent="0.25">
      <c r="B57" s="691"/>
      <c r="C57" s="692"/>
      <c r="D57" s="693"/>
      <c r="E57" s="578"/>
      <c r="F57" s="578"/>
      <c r="G57" s="578"/>
      <c r="H57" s="578"/>
      <c r="I57" s="578"/>
      <c r="J57" s="578"/>
      <c r="K57" s="578"/>
      <c r="L57" s="694"/>
      <c r="M57" s="2"/>
    </row>
    <row r="58" spans="2:16" x14ac:dyDescent="0.25">
      <c r="B58" s="687" t="str">
        <f>IF(Intro!$G$21="English",O58,P58)</f>
        <v>Financial expenses</v>
      </c>
      <c r="C58" s="688"/>
      <c r="D58" s="684" t="str">
        <f>IF(Intro!$G$21="English",O59,P59)</f>
        <v>Expenses incurred by a business due to its financing activities. Financing expenses include the outflow of cash to investors through dividends, interest from loans, costs from repurchasing stock, currency gains or losses, and other expenses from financing activities.</v>
      </c>
      <c r="E58" s="575"/>
      <c r="F58" s="575"/>
      <c r="G58" s="575"/>
      <c r="H58" s="575"/>
      <c r="I58" s="575"/>
      <c r="J58" s="575"/>
      <c r="K58" s="575"/>
      <c r="L58" s="685"/>
      <c r="M58" s="2"/>
      <c r="O58" s="2" t="s">
        <v>369</v>
      </c>
      <c r="P58" s="2" t="s">
        <v>54</v>
      </c>
    </row>
    <row r="59" spans="2:16" x14ac:dyDescent="0.25">
      <c r="B59" s="689"/>
      <c r="C59" s="690"/>
      <c r="D59" s="686"/>
      <c r="E59" s="635"/>
      <c r="F59" s="635"/>
      <c r="G59" s="635"/>
      <c r="H59" s="635"/>
      <c r="I59" s="635"/>
      <c r="J59" s="635"/>
      <c r="K59" s="635"/>
      <c r="L59" s="636"/>
      <c r="M59" s="2"/>
      <c r="O59" s="2" t="s">
        <v>403</v>
      </c>
      <c r="P59" s="2" t="s">
        <v>381</v>
      </c>
    </row>
    <row r="60" spans="2:16" x14ac:dyDescent="0.25">
      <c r="B60" s="691"/>
      <c r="C60" s="692"/>
      <c r="D60" s="693"/>
      <c r="E60" s="578"/>
      <c r="F60" s="578"/>
      <c r="G60" s="578"/>
      <c r="H60" s="578"/>
      <c r="I60" s="578"/>
      <c r="J60" s="578"/>
      <c r="K60" s="578"/>
      <c r="L60" s="694"/>
      <c r="M60" s="2"/>
    </row>
    <row r="61" spans="2:16" x14ac:dyDescent="0.25">
      <c r="B61" s="687" t="str">
        <f>IF(Intro!$G$21="English",O61,P61)</f>
        <v>General, selling and administrative expenses</v>
      </c>
      <c r="C61" s="688"/>
      <c r="D61" s="684" t="str">
        <f>IF(Intro!$G$21="English",O62,P62)</f>
        <v>The costs that occur during the daily operations of a company and not directly related to the manufacturing of the product. These include expenses related to the selling and promotion of a product as well as managing the company. GS&amp;A may include items such as management or salesperson salaries, advertising, consulting expenses, legal fees, rent and office supplies or insurance.</v>
      </c>
      <c r="E61" s="575"/>
      <c r="F61" s="575"/>
      <c r="G61" s="575"/>
      <c r="H61" s="575"/>
      <c r="I61" s="575"/>
      <c r="J61" s="575"/>
      <c r="K61" s="575"/>
      <c r="L61" s="685"/>
      <c r="M61" s="2"/>
      <c r="O61" s="2" t="s">
        <v>370</v>
      </c>
      <c r="P61" s="2" t="s">
        <v>376</v>
      </c>
    </row>
    <row r="62" spans="2:16" x14ac:dyDescent="0.25">
      <c r="B62" s="689"/>
      <c r="C62" s="690"/>
      <c r="D62" s="686"/>
      <c r="E62" s="635"/>
      <c r="F62" s="635"/>
      <c r="G62" s="635"/>
      <c r="H62" s="635"/>
      <c r="I62" s="635"/>
      <c r="J62" s="635"/>
      <c r="K62" s="635"/>
      <c r="L62" s="636"/>
      <c r="M62" s="2"/>
      <c r="O62" s="2" t="s">
        <v>404</v>
      </c>
      <c r="P62" s="2" t="s">
        <v>382</v>
      </c>
    </row>
    <row r="63" spans="2:16" x14ac:dyDescent="0.25">
      <c r="B63" s="689"/>
      <c r="C63" s="690"/>
      <c r="D63" s="686"/>
      <c r="E63" s="635"/>
      <c r="F63" s="635"/>
      <c r="G63" s="635"/>
      <c r="H63" s="635"/>
      <c r="I63" s="635"/>
      <c r="J63" s="635"/>
      <c r="K63" s="635"/>
      <c r="L63" s="636"/>
      <c r="M63" s="2"/>
    </row>
    <row r="64" spans="2:16" x14ac:dyDescent="0.25">
      <c r="B64" s="691"/>
      <c r="C64" s="692"/>
      <c r="D64" s="693"/>
      <c r="E64" s="578"/>
      <c r="F64" s="578"/>
      <c r="G64" s="578"/>
      <c r="H64" s="578"/>
      <c r="I64" s="578"/>
      <c r="J64" s="578"/>
      <c r="K64" s="578"/>
      <c r="L64" s="694"/>
      <c r="M64" s="2"/>
    </row>
    <row r="65" spans="2:18" x14ac:dyDescent="0.25">
      <c r="B65" s="687" t="str">
        <f>IF(Intro!$G$21="English",O65,P65)</f>
        <v>Indirect employment</v>
      </c>
      <c r="C65" s="688"/>
      <c r="D65" s="684" t="str">
        <f>IF(Intro!$G$21="English",O66,P66)</f>
        <v>The labour costs of plant personnel such as supervisors, superintendents and quality control employees, but does not include sales and administrative personnel.</v>
      </c>
      <c r="E65" s="575"/>
      <c r="F65" s="575"/>
      <c r="G65" s="575"/>
      <c r="H65" s="575"/>
      <c r="I65" s="575"/>
      <c r="J65" s="575"/>
      <c r="K65" s="575"/>
      <c r="L65" s="685"/>
      <c r="M65" s="2"/>
      <c r="O65" s="2" t="s">
        <v>371</v>
      </c>
      <c r="P65" s="2" t="s">
        <v>377</v>
      </c>
    </row>
    <row r="66" spans="2:18" x14ac:dyDescent="0.25">
      <c r="B66" s="689"/>
      <c r="C66" s="690"/>
      <c r="D66" s="686"/>
      <c r="E66" s="635"/>
      <c r="F66" s="635"/>
      <c r="G66" s="635"/>
      <c r="H66" s="635"/>
      <c r="I66" s="635"/>
      <c r="J66" s="635"/>
      <c r="K66" s="635"/>
      <c r="L66" s="636"/>
      <c r="M66" s="2"/>
      <c r="O66" s="2" t="s">
        <v>730</v>
      </c>
      <c r="P66" s="2" t="s">
        <v>731</v>
      </c>
    </row>
    <row r="67" spans="2:18" x14ac:dyDescent="0.25">
      <c r="B67" s="691"/>
      <c r="C67" s="692"/>
      <c r="D67" s="693"/>
      <c r="E67" s="578"/>
      <c r="F67" s="578"/>
      <c r="G67" s="578"/>
      <c r="H67" s="578"/>
      <c r="I67" s="578"/>
      <c r="J67" s="578"/>
      <c r="K67" s="578"/>
      <c r="L67" s="694"/>
      <c r="M67" s="2"/>
    </row>
    <row r="68" spans="2:18" x14ac:dyDescent="0.25">
      <c r="B68" s="687" t="str">
        <f>IF(Intro!$G$21="English",O68,P68)</f>
        <v>Net delivered selling value</v>
      </c>
      <c r="C68" s="688"/>
      <c r="D68" s="684" t="str">
        <f>IF(Intro!$G$21="English",O69,P69)</f>
        <v>The value of your sales net of all discounts (cash, quantity or deferred), allowances, taxes, rebates and incentives, whether or not shown on the invoice. It includes all delivery costs.</v>
      </c>
      <c r="E68" s="575"/>
      <c r="F68" s="575"/>
      <c r="G68" s="575"/>
      <c r="H68" s="575"/>
      <c r="I68" s="575"/>
      <c r="J68" s="575"/>
      <c r="K68" s="575"/>
      <c r="L68" s="685"/>
      <c r="M68" s="2"/>
      <c r="O68" s="2" t="s">
        <v>372</v>
      </c>
      <c r="P68" s="2" t="s">
        <v>378</v>
      </c>
    </row>
    <row r="69" spans="2:18" x14ac:dyDescent="0.25">
      <c r="B69" s="689"/>
      <c r="C69" s="690"/>
      <c r="D69" s="686"/>
      <c r="E69" s="635"/>
      <c r="F69" s="635"/>
      <c r="G69" s="635"/>
      <c r="H69" s="635"/>
      <c r="I69" s="635"/>
      <c r="J69" s="635"/>
      <c r="K69" s="635"/>
      <c r="L69" s="636"/>
      <c r="M69" s="2"/>
      <c r="O69" s="2" t="s">
        <v>725</v>
      </c>
      <c r="P69" s="1" t="s">
        <v>636</v>
      </c>
      <c r="R69" s="1"/>
    </row>
    <row r="70" spans="2:18" x14ac:dyDescent="0.25">
      <c r="B70" s="691"/>
      <c r="C70" s="692"/>
      <c r="D70" s="693"/>
      <c r="E70" s="578"/>
      <c r="F70" s="578"/>
      <c r="G70" s="578"/>
      <c r="H70" s="578"/>
      <c r="I70" s="578"/>
      <c r="J70" s="578"/>
      <c r="K70" s="578"/>
      <c r="L70" s="694"/>
      <c r="M70" s="2"/>
      <c r="R70" s="1"/>
    </row>
    <row r="71" spans="2:18" x14ac:dyDescent="0.25">
      <c r="B71" s="687" t="str">
        <f>IF(Intro!$G$21="English",O71,P71)</f>
        <v>Net sales value</v>
      </c>
      <c r="C71" s="688"/>
      <c r="D71" s="684" t="str">
        <f>IF(Intro!$G$21="English",O72,P72)</f>
        <v>The value of your sales after the deduction of returns, allowances for damaged or missing goods and any discounts, rebates and incentives offered.</v>
      </c>
      <c r="E71" s="575"/>
      <c r="F71" s="575"/>
      <c r="G71" s="575"/>
      <c r="H71" s="575"/>
      <c r="I71" s="575"/>
      <c r="J71" s="575"/>
      <c r="K71" s="575"/>
      <c r="L71" s="685"/>
      <c r="M71" s="2"/>
      <c r="O71" s="2" t="s">
        <v>373</v>
      </c>
      <c r="P71" s="2" t="s">
        <v>71</v>
      </c>
    </row>
    <row r="72" spans="2:18" x14ac:dyDescent="0.25">
      <c r="B72" s="689"/>
      <c r="C72" s="690"/>
      <c r="D72" s="686"/>
      <c r="E72" s="635"/>
      <c r="F72" s="635"/>
      <c r="G72" s="635"/>
      <c r="H72" s="635"/>
      <c r="I72" s="635"/>
      <c r="J72" s="635"/>
      <c r="K72" s="635"/>
      <c r="L72" s="636"/>
      <c r="M72" s="2"/>
      <c r="O72" s="2" t="s">
        <v>637</v>
      </c>
      <c r="P72" s="2" t="s">
        <v>638</v>
      </c>
    </row>
    <row r="73" spans="2:18" x14ac:dyDescent="0.25">
      <c r="B73" s="687" t="str">
        <f>IF(Intro!$G$21="English",O73,P73)</f>
        <v>Practical plant capacity</v>
      </c>
      <c r="C73" s="688"/>
      <c r="D73" s="684" t="str">
        <f>IF(Intro!$G$21="English",O74,P74)</f>
        <v>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v>
      </c>
      <c r="E73" s="575"/>
      <c r="F73" s="575"/>
      <c r="G73" s="575"/>
      <c r="H73" s="575"/>
      <c r="I73" s="575"/>
      <c r="J73" s="575"/>
      <c r="K73" s="575"/>
      <c r="L73" s="685"/>
      <c r="M73" s="2"/>
      <c r="O73" s="2" t="s">
        <v>374</v>
      </c>
      <c r="P73" s="2" t="s">
        <v>379</v>
      </c>
    </row>
    <row r="74" spans="2:18" x14ac:dyDescent="0.25">
      <c r="B74" s="689"/>
      <c r="C74" s="690"/>
      <c r="D74" s="686"/>
      <c r="E74" s="635"/>
      <c r="F74" s="635"/>
      <c r="G74" s="635"/>
      <c r="H74" s="635"/>
      <c r="I74" s="635"/>
      <c r="J74" s="635"/>
      <c r="K74" s="635"/>
      <c r="L74" s="636"/>
      <c r="O74" s="2" t="s">
        <v>598</v>
      </c>
      <c r="P74" s="2" t="s">
        <v>683</v>
      </c>
    </row>
    <row r="75" spans="2:18" x14ac:dyDescent="0.25">
      <c r="B75" s="689"/>
      <c r="C75" s="690"/>
      <c r="D75" s="686"/>
      <c r="E75" s="635"/>
      <c r="F75" s="635"/>
      <c r="G75" s="635"/>
      <c r="H75" s="635"/>
      <c r="I75" s="635"/>
      <c r="J75" s="635"/>
      <c r="K75" s="635"/>
      <c r="L75" s="636"/>
    </row>
    <row r="76" spans="2:18" x14ac:dyDescent="0.25">
      <c r="B76" s="689"/>
      <c r="C76" s="690"/>
      <c r="D76" s="686"/>
      <c r="E76" s="635"/>
      <c r="F76" s="635"/>
      <c r="G76" s="635"/>
      <c r="H76" s="635"/>
      <c r="I76" s="635"/>
      <c r="J76" s="635"/>
      <c r="K76" s="635"/>
      <c r="L76" s="636"/>
    </row>
    <row r="77" spans="2:18" x14ac:dyDescent="0.25">
      <c r="B77" s="695" t="str">
        <f>IF(Intro!$G$21="English",O77,P77)</f>
        <v>Related firms</v>
      </c>
      <c r="C77" s="696"/>
      <c r="D77" s="623" t="str">
        <f>IF(Intro!$G$21="English",O78,P78)</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v>
      </c>
      <c r="E77" s="623"/>
      <c r="F77" s="623"/>
      <c r="G77" s="623"/>
      <c r="H77" s="623"/>
      <c r="I77" s="623"/>
      <c r="J77" s="623"/>
      <c r="K77" s="623"/>
      <c r="L77" s="701"/>
      <c r="M77" s="2"/>
      <c r="O77" s="2" t="s">
        <v>599</v>
      </c>
      <c r="P77" s="2" t="s">
        <v>600</v>
      </c>
    </row>
    <row r="78" spans="2:18" x14ac:dyDescent="0.25">
      <c r="B78" s="697"/>
      <c r="C78" s="698"/>
      <c r="D78" s="625"/>
      <c r="E78" s="625"/>
      <c r="F78" s="625"/>
      <c r="G78" s="625"/>
      <c r="H78" s="625"/>
      <c r="I78" s="625"/>
      <c r="J78" s="625"/>
      <c r="K78" s="625"/>
      <c r="L78" s="702"/>
      <c r="M78" s="2"/>
      <c r="O78" s="2" t="s">
        <v>596</v>
      </c>
      <c r="P78" s="2" t="s">
        <v>597</v>
      </c>
    </row>
    <row r="79" spans="2:18" x14ac:dyDescent="0.25">
      <c r="B79" s="697"/>
      <c r="C79" s="698"/>
      <c r="D79" s="625"/>
      <c r="E79" s="625"/>
      <c r="F79" s="625"/>
      <c r="G79" s="625"/>
      <c r="H79" s="625"/>
      <c r="I79" s="625"/>
      <c r="J79" s="625"/>
      <c r="K79" s="625"/>
      <c r="L79" s="702"/>
      <c r="M79" s="2"/>
    </row>
    <row r="80" spans="2:18" x14ac:dyDescent="0.25">
      <c r="B80" s="699"/>
      <c r="C80" s="700"/>
      <c r="D80" s="703"/>
      <c r="E80" s="703"/>
      <c r="F80" s="703"/>
      <c r="G80" s="703"/>
      <c r="H80" s="703"/>
      <c r="I80" s="703"/>
      <c r="J80" s="703"/>
      <c r="K80" s="703"/>
      <c r="L80" s="704"/>
      <c r="M80" s="2"/>
    </row>
  </sheetData>
  <sheetProtection algorithmName="SHA-512" hashValue="QSPS4p9S3Ifca0LdjHShN51e29VJhla+qdmpDgnIiiuONSaMbgXqJPO1d3Kql8EMSz+sOSN3ZYPJbGeVG/szdw==" saltValue="Ua1ZLPt8QuPAdjDs/OAu/A==" spinCount="100000" sheet="1" objects="1" scenarios="1" selectLockedCells="1"/>
  <mergeCells count="39">
    <mergeCell ref="B22:L22"/>
    <mergeCell ref="B23:L23"/>
    <mergeCell ref="B24:L24"/>
    <mergeCell ref="B77:C80"/>
    <mergeCell ref="D77:L80"/>
    <mergeCell ref="B44:C46"/>
    <mergeCell ref="D44:L46"/>
    <mergeCell ref="B47:C50"/>
    <mergeCell ref="D47:L50"/>
    <mergeCell ref="B54:C57"/>
    <mergeCell ref="D54:L57"/>
    <mergeCell ref="B51:C53"/>
    <mergeCell ref="D51:L53"/>
    <mergeCell ref="B58:C60"/>
    <mergeCell ref="D58:L60"/>
    <mergeCell ref="B71:C72"/>
    <mergeCell ref="D71:L72"/>
    <mergeCell ref="B73:C76"/>
    <mergeCell ref="D73:L76"/>
    <mergeCell ref="B61:C64"/>
    <mergeCell ref="D61:L64"/>
    <mergeCell ref="B65:C67"/>
    <mergeCell ref="D65:L67"/>
    <mergeCell ref="B68:C70"/>
    <mergeCell ref="D68:L70"/>
    <mergeCell ref="B4:L4"/>
    <mergeCell ref="B5:L5"/>
    <mergeCell ref="B6:L6"/>
    <mergeCell ref="B21:L21"/>
    <mergeCell ref="B8:L8"/>
    <mergeCell ref="B10:L10"/>
    <mergeCell ref="B19:L19"/>
    <mergeCell ref="B12:L13"/>
    <mergeCell ref="B15:L16"/>
    <mergeCell ref="B43:L43"/>
    <mergeCell ref="B27:L27"/>
    <mergeCell ref="B29:L29"/>
    <mergeCell ref="B31:C40"/>
    <mergeCell ref="D31:J40"/>
  </mergeCells>
  <printOptions horizontalCentered="1"/>
  <pageMargins left="0.25" right="0.25" top="0.75" bottom="0.75" header="0.3" footer="0.3"/>
  <pageSetup scale="63" fitToHeight="0" orientation="portrait" r:id="rId1"/>
  <headerFooter>
    <oddFooter>&amp;L&amp;A</oddFooter>
  </headerFooter>
  <rowBreaks count="1" manualBreakCount="1">
    <brk id="42" min="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7A62E-6D01-4FA3-92E3-82C90F93AE0C}">
  <sheetPr>
    <tabColor rgb="FF00B0F0"/>
    <pageSetUpPr fitToPage="1"/>
  </sheetPr>
  <dimension ref="A1:Q455"/>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9" hidden="1" customWidth="1"/>
    <col min="17" max="17" width="9.140625" style="2" customWidth="1"/>
    <col min="18" max="16384" width="9.140625" style="2"/>
  </cols>
  <sheetData>
    <row r="1" spans="1:16" x14ac:dyDescent="0.25">
      <c r="O1" s="2" t="s">
        <v>720</v>
      </c>
      <c r="P1" s="2" t="s">
        <v>720</v>
      </c>
    </row>
    <row r="2" spans="1:16" x14ac:dyDescent="0.25">
      <c r="B2" s="20" t="s">
        <v>0</v>
      </c>
      <c r="C2" s="20"/>
      <c r="D2" s="20"/>
      <c r="O2" s="3" t="s">
        <v>166</v>
      </c>
      <c r="P2" s="3" t="s">
        <v>167</v>
      </c>
    </row>
    <row r="3" spans="1:16" x14ac:dyDescent="0.25">
      <c r="B3" s="21"/>
      <c r="C3" s="21"/>
      <c r="D3" s="21"/>
      <c r="O3" s="8"/>
      <c r="P3" s="8"/>
    </row>
    <row r="4" spans="1:16" s="8" customFormat="1" x14ac:dyDescent="0.25">
      <c r="A4" s="13"/>
      <c r="B4" s="649" t="str">
        <f>Info!B4</f>
        <v>PRODUCERS' QUESTIONNAIRE</v>
      </c>
      <c r="C4" s="650"/>
      <c r="D4" s="650"/>
      <c r="E4" s="650"/>
      <c r="F4" s="650"/>
      <c r="G4" s="650"/>
      <c r="H4" s="650"/>
      <c r="I4" s="650"/>
      <c r="J4" s="650"/>
      <c r="K4" s="650"/>
      <c r="L4" s="651"/>
      <c r="M4" s="6"/>
      <c r="N4" s="6"/>
      <c r="O4" s="14"/>
      <c r="P4" s="14"/>
    </row>
    <row r="5" spans="1:16" s="8" customFormat="1" x14ac:dyDescent="0.25">
      <c r="A5" s="13"/>
      <c r="B5" s="652" t="str">
        <f>Info!B5</f>
        <v>NQ-2026-004</v>
      </c>
      <c r="C5" s="653"/>
      <c r="D5" s="653"/>
      <c r="E5" s="653"/>
      <c r="F5" s="653"/>
      <c r="G5" s="653"/>
      <c r="H5" s="653"/>
      <c r="I5" s="653"/>
      <c r="J5" s="653"/>
      <c r="K5" s="653"/>
      <c r="L5" s="654"/>
      <c r="M5" s="6"/>
      <c r="N5" s="6"/>
      <c r="O5" s="14"/>
      <c r="P5" s="14"/>
    </row>
    <row r="6" spans="1:16" s="9" customFormat="1" x14ac:dyDescent="0.25">
      <c r="A6" s="13"/>
      <c r="B6" s="652" t="str">
        <f>Info!B6</f>
        <v>DECORATIVE AND OTHER NON-STRUCTURAL PLYWOOD</v>
      </c>
      <c r="C6" s="653"/>
      <c r="D6" s="653"/>
      <c r="E6" s="653"/>
      <c r="F6" s="653"/>
      <c r="G6" s="653"/>
      <c r="H6" s="653"/>
      <c r="I6" s="653"/>
      <c r="J6" s="653"/>
      <c r="K6" s="653"/>
      <c r="L6" s="654"/>
      <c r="M6" s="14"/>
      <c r="N6" s="14"/>
      <c r="O6" s="10"/>
      <c r="P6" s="10"/>
    </row>
    <row r="7" spans="1:16" s="9" customFormat="1" x14ac:dyDescent="0.25">
      <c r="A7" s="13"/>
      <c r="B7" s="242"/>
      <c r="C7" s="28"/>
      <c r="D7" s="28"/>
      <c r="E7" s="28"/>
      <c r="F7" s="28"/>
      <c r="G7" s="28"/>
      <c r="H7" s="28"/>
      <c r="I7" s="28"/>
      <c r="J7" s="28"/>
      <c r="K7" s="28"/>
      <c r="L7" s="243"/>
      <c r="M7" s="14"/>
      <c r="N7" s="14"/>
      <c r="O7" s="5"/>
    </row>
    <row r="8" spans="1:16" s="9" customFormat="1" x14ac:dyDescent="0.25">
      <c r="A8" s="13"/>
      <c r="B8" s="733" t="str">
        <f>IF(Intro!$G$21="English",O8,P8)</f>
        <v>The following questions refer to the goods as defined in the product description on the Intro tab.</v>
      </c>
      <c r="C8" s="734"/>
      <c r="D8" s="734"/>
      <c r="E8" s="734"/>
      <c r="F8" s="734"/>
      <c r="G8" s="734"/>
      <c r="H8" s="734"/>
      <c r="I8" s="734"/>
      <c r="J8" s="734"/>
      <c r="K8" s="734"/>
      <c r="L8" s="735"/>
      <c r="M8" s="14"/>
      <c r="N8" s="14"/>
      <c r="O8" s="10" t="str">
        <f>"The following questions refer to the goods as defined in the product description on the Intro tab."</f>
        <v>The following questions refer to the goods as defined in the product description on the Intro tab.</v>
      </c>
      <c r="P8" s="10" t="str">
        <f>"Les questions suivantes font référence aux marchandises comme définies dans la description du produit de l'onglet Intro."</f>
        <v>Les questions suivantes font référence aux marchandises comme définies dans la description du produit de l'onglet Intro.</v>
      </c>
    </row>
    <row r="9" spans="1:16" s="9" customFormat="1" x14ac:dyDescent="0.25">
      <c r="A9" s="13"/>
      <c r="B9" s="733" t="str">
        <f>IF(Intro!$G$21="English",O9,P9)</f>
        <v xml:space="preserve">Product information and a glossary of terms can be found in the Info tab.
</v>
      </c>
      <c r="C9" s="734"/>
      <c r="D9" s="734"/>
      <c r="E9" s="734"/>
      <c r="F9" s="734"/>
      <c r="G9" s="734"/>
      <c r="H9" s="734"/>
      <c r="I9" s="734"/>
      <c r="J9" s="734"/>
      <c r="K9" s="734"/>
      <c r="L9" s="735"/>
      <c r="M9" s="14"/>
      <c r="N9" s="14"/>
      <c r="O9" s="10" t="s">
        <v>176</v>
      </c>
      <c r="P9" s="9" t="s">
        <v>177</v>
      </c>
    </row>
    <row r="10" spans="1:16" s="9" customFormat="1" x14ac:dyDescent="0.25">
      <c r="A10" s="13"/>
      <c r="B10" s="736" t="str">
        <f>IF(Intro!$G$21="English",O10,P10)</f>
        <v xml:space="preserve">Use the AddPub tab if more space is needed.
</v>
      </c>
      <c r="C10" s="737"/>
      <c r="D10" s="737"/>
      <c r="E10" s="737"/>
      <c r="F10" s="737"/>
      <c r="G10" s="737"/>
      <c r="H10" s="737"/>
      <c r="I10" s="737"/>
      <c r="J10" s="737"/>
      <c r="K10" s="737"/>
      <c r="L10" s="738"/>
      <c r="M10" s="14"/>
      <c r="N10" s="14"/>
      <c r="O10" s="10" t="s">
        <v>287</v>
      </c>
      <c r="P10" s="10" t="s">
        <v>288</v>
      </c>
    </row>
    <row r="11" spans="1:16" s="9" customFormat="1" x14ac:dyDescent="0.25">
      <c r="A11" s="13"/>
      <c r="B11" s="22"/>
      <c r="C11" s="22"/>
      <c r="D11" s="22"/>
      <c r="E11" s="23"/>
      <c r="F11" s="23"/>
      <c r="G11" s="23"/>
      <c r="H11" s="23"/>
      <c r="I11" s="23"/>
      <c r="J11" s="23"/>
      <c r="K11" s="23"/>
      <c r="L11" s="23"/>
      <c r="O11" s="10"/>
      <c r="P11" s="10"/>
    </row>
    <row r="12" spans="1:16" x14ac:dyDescent="0.25">
      <c r="B12" s="618" t="str">
        <f>IF(Intro!$G$21="English",O12,P12)</f>
        <v>GENERAL FIRM INFORMATION</v>
      </c>
      <c r="C12" s="619"/>
      <c r="D12" s="619"/>
      <c r="E12" s="619"/>
      <c r="F12" s="619"/>
      <c r="G12" s="619"/>
      <c r="H12" s="619"/>
      <c r="I12" s="619"/>
      <c r="J12" s="619"/>
      <c r="K12" s="619"/>
      <c r="L12" s="620"/>
      <c r="M12" s="152"/>
      <c r="O12" s="198" t="s">
        <v>639</v>
      </c>
      <c r="P12" s="198" t="s">
        <v>640</v>
      </c>
    </row>
    <row r="13" spans="1:16" x14ac:dyDescent="0.25">
      <c r="B13" s="714" t="s">
        <v>20</v>
      </c>
      <c r="C13" s="715"/>
      <c r="D13" s="715"/>
      <c r="E13" s="715"/>
      <c r="F13" s="715"/>
      <c r="G13" s="715"/>
      <c r="H13" s="715"/>
      <c r="I13" s="715"/>
      <c r="J13" s="715"/>
      <c r="K13" s="715"/>
      <c r="L13" s="716"/>
      <c r="M13" s="2"/>
    </row>
    <row r="14" spans="1:16" x14ac:dyDescent="0.25">
      <c r="B14" s="24"/>
      <c r="C14" s="25"/>
      <c r="D14" s="25"/>
      <c r="E14" s="26"/>
      <c r="F14" s="26"/>
      <c r="G14" s="26"/>
      <c r="H14" s="26"/>
      <c r="I14" s="26"/>
      <c r="J14" s="26"/>
      <c r="K14" s="26"/>
      <c r="L14" s="27"/>
      <c r="M14" s="2"/>
    </row>
    <row r="15" spans="1:16" x14ac:dyDescent="0.25">
      <c r="B15" s="612" t="str">
        <f>IF(Intro!$G$21="English",O15,P15)</f>
        <v>Provide a brief history of your firm, with particular emphasis on activities regarding the goods.</v>
      </c>
      <c r="C15" s="613"/>
      <c r="D15" s="613"/>
      <c r="E15" s="613"/>
      <c r="F15" s="613"/>
      <c r="G15" s="613"/>
      <c r="H15" s="613"/>
      <c r="I15" s="613"/>
      <c r="J15" s="613"/>
      <c r="K15" s="613"/>
      <c r="L15" s="614"/>
      <c r="M15" s="2"/>
      <c r="O15" s="155" t="s">
        <v>136</v>
      </c>
      <c r="P15" s="9" t="s">
        <v>137</v>
      </c>
    </row>
    <row r="16" spans="1:16" s="152" customFormat="1" x14ac:dyDescent="0.25">
      <c r="A16" s="173"/>
      <c r="B16" s="185"/>
      <c r="C16" s="174"/>
      <c r="D16" s="174"/>
      <c r="E16" s="174"/>
      <c r="F16" s="174"/>
      <c r="G16" s="174"/>
      <c r="H16" s="174"/>
      <c r="I16" s="174"/>
      <c r="J16" s="174"/>
      <c r="K16" s="174"/>
      <c r="L16" s="175"/>
      <c r="O16" s="9"/>
      <c r="P16" s="9"/>
    </row>
    <row r="17" spans="1:16" s="3" customFormat="1" x14ac:dyDescent="0.25">
      <c r="A17" s="12"/>
      <c r="B17" s="705"/>
      <c r="C17" s="706"/>
      <c r="D17" s="706"/>
      <c r="E17" s="706"/>
      <c r="F17" s="706"/>
      <c r="G17" s="706"/>
      <c r="H17" s="706"/>
      <c r="I17" s="706"/>
      <c r="J17" s="706"/>
      <c r="K17" s="706"/>
      <c r="L17" s="707"/>
      <c r="M17" s="152"/>
      <c r="O17" s="154"/>
      <c r="P17" s="154"/>
    </row>
    <row r="18" spans="1:16" s="3" customFormat="1" x14ac:dyDescent="0.25">
      <c r="A18" s="12"/>
      <c r="B18" s="705"/>
      <c r="C18" s="706"/>
      <c r="D18" s="706"/>
      <c r="E18" s="706"/>
      <c r="F18" s="706"/>
      <c r="G18" s="706"/>
      <c r="H18" s="706"/>
      <c r="I18" s="706"/>
      <c r="J18" s="706"/>
      <c r="K18" s="706"/>
      <c r="L18" s="707"/>
      <c r="M18" s="152"/>
      <c r="O18" s="154"/>
      <c r="P18" s="154"/>
    </row>
    <row r="19" spans="1:16" s="3" customFormat="1" x14ac:dyDescent="0.25">
      <c r="A19" s="12"/>
      <c r="B19" s="705"/>
      <c r="C19" s="706"/>
      <c r="D19" s="706"/>
      <c r="E19" s="706"/>
      <c r="F19" s="706"/>
      <c r="G19" s="706"/>
      <c r="H19" s="706"/>
      <c r="I19" s="706"/>
      <c r="J19" s="706"/>
      <c r="K19" s="706"/>
      <c r="L19" s="707"/>
      <c r="M19" s="152"/>
      <c r="O19" s="154"/>
      <c r="P19" s="154"/>
    </row>
    <row r="20" spans="1:16" s="3" customFormat="1" x14ac:dyDescent="0.25">
      <c r="A20" s="12"/>
      <c r="B20" s="705"/>
      <c r="C20" s="706"/>
      <c r="D20" s="706"/>
      <c r="E20" s="706"/>
      <c r="F20" s="706"/>
      <c r="G20" s="706"/>
      <c r="H20" s="706"/>
      <c r="I20" s="706"/>
      <c r="J20" s="706"/>
      <c r="K20" s="706"/>
      <c r="L20" s="707"/>
      <c r="M20" s="152"/>
      <c r="O20" s="154"/>
      <c r="P20" s="154"/>
    </row>
    <row r="21" spans="1:16" s="3" customFormat="1" x14ac:dyDescent="0.25">
      <c r="A21" s="12"/>
      <c r="B21" s="705"/>
      <c r="C21" s="706"/>
      <c r="D21" s="706"/>
      <c r="E21" s="706"/>
      <c r="F21" s="706"/>
      <c r="G21" s="706"/>
      <c r="H21" s="706"/>
      <c r="I21" s="706"/>
      <c r="J21" s="706"/>
      <c r="K21" s="706"/>
      <c r="L21" s="707"/>
      <c r="M21" s="152"/>
      <c r="O21" s="154"/>
      <c r="P21" s="154"/>
    </row>
    <row r="22" spans="1:16" s="3" customFormat="1" x14ac:dyDescent="0.25">
      <c r="A22" s="12"/>
      <c r="B22" s="705"/>
      <c r="C22" s="706"/>
      <c r="D22" s="706"/>
      <c r="E22" s="706"/>
      <c r="F22" s="706"/>
      <c r="G22" s="706"/>
      <c r="H22" s="706"/>
      <c r="I22" s="706"/>
      <c r="J22" s="706"/>
      <c r="K22" s="706"/>
      <c r="L22" s="707"/>
      <c r="M22" s="152"/>
      <c r="O22" s="154"/>
      <c r="P22" s="154"/>
    </row>
    <row r="23" spans="1:16" s="3" customFormat="1" x14ac:dyDescent="0.25">
      <c r="A23" s="12"/>
      <c r="B23" s="705"/>
      <c r="C23" s="706"/>
      <c r="D23" s="706"/>
      <c r="E23" s="706"/>
      <c r="F23" s="706"/>
      <c r="G23" s="706"/>
      <c r="H23" s="706"/>
      <c r="I23" s="706"/>
      <c r="J23" s="706"/>
      <c r="K23" s="706"/>
      <c r="L23" s="707"/>
      <c r="M23" s="152"/>
      <c r="O23" s="154"/>
      <c r="P23" s="154"/>
    </row>
    <row r="24" spans="1:16" s="3" customFormat="1" x14ac:dyDescent="0.25">
      <c r="A24" s="12"/>
      <c r="B24" s="705"/>
      <c r="C24" s="706"/>
      <c r="D24" s="706"/>
      <c r="E24" s="706"/>
      <c r="F24" s="706"/>
      <c r="G24" s="706"/>
      <c r="H24" s="706"/>
      <c r="I24" s="706"/>
      <c r="J24" s="706"/>
      <c r="K24" s="706"/>
      <c r="L24" s="707"/>
      <c r="M24" s="152"/>
      <c r="O24" s="154"/>
      <c r="P24" s="154"/>
    </row>
    <row r="25" spans="1:16" s="152" customFormat="1" x14ac:dyDescent="0.25">
      <c r="A25" s="173"/>
      <c r="B25" s="187"/>
      <c r="C25" s="188"/>
      <c r="D25" s="188"/>
      <c r="E25" s="188"/>
      <c r="F25" s="188"/>
      <c r="G25" s="188"/>
      <c r="H25" s="188"/>
      <c r="I25" s="188"/>
      <c r="J25" s="188"/>
      <c r="K25" s="188"/>
      <c r="L25" s="186"/>
      <c r="O25" s="9"/>
      <c r="P25" s="9"/>
    </row>
    <row r="26" spans="1:16" s="3" customFormat="1" x14ac:dyDescent="0.25">
      <c r="A26" s="12"/>
      <c r="B26" s="711" t="s">
        <v>21</v>
      </c>
      <c r="C26" s="712"/>
      <c r="D26" s="712"/>
      <c r="E26" s="712"/>
      <c r="F26" s="712"/>
      <c r="G26" s="712"/>
      <c r="H26" s="712"/>
      <c r="I26" s="712"/>
      <c r="J26" s="712"/>
      <c r="K26" s="712"/>
      <c r="L26" s="713"/>
      <c r="M26" s="168"/>
      <c r="O26" s="154"/>
      <c r="P26" s="154"/>
    </row>
    <row r="27" spans="1:16" s="152" customFormat="1" x14ac:dyDescent="0.25">
      <c r="A27" s="173"/>
      <c r="B27" s="185"/>
      <c r="C27" s="174"/>
      <c r="D27" s="174"/>
      <c r="E27" s="174"/>
      <c r="F27" s="174"/>
      <c r="G27" s="174"/>
      <c r="H27" s="174"/>
      <c r="I27" s="174"/>
      <c r="J27" s="174"/>
      <c r="K27" s="174"/>
      <c r="L27" s="175"/>
      <c r="O27" s="9"/>
      <c r="P27" s="9"/>
    </row>
    <row r="28" spans="1:16" s="152" customFormat="1" x14ac:dyDescent="0.25">
      <c r="A28" s="173"/>
      <c r="B28" s="634" t="str">
        <f>IF(Intro!$G$21="English",O28,P28)</f>
        <v>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v>
      </c>
      <c r="C28" s="635"/>
      <c r="D28" s="635"/>
      <c r="E28" s="635"/>
      <c r="F28" s="635"/>
      <c r="G28" s="635"/>
      <c r="H28" s="635"/>
      <c r="I28" s="635"/>
      <c r="J28" s="635"/>
      <c r="K28" s="635"/>
      <c r="L28" s="636"/>
      <c r="O28" s="2" t="s">
        <v>798</v>
      </c>
      <c r="P28" s="2" t="s">
        <v>799</v>
      </c>
    </row>
    <row r="29" spans="1:16" s="152" customFormat="1" x14ac:dyDescent="0.25">
      <c r="A29" s="173"/>
      <c r="B29" s="634"/>
      <c r="C29" s="635"/>
      <c r="D29" s="635"/>
      <c r="E29" s="635"/>
      <c r="F29" s="635"/>
      <c r="G29" s="635"/>
      <c r="H29" s="635"/>
      <c r="I29" s="635"/>
      <c r="J29" s="635"/>
      <c r="K29" s="635"/>
      <c r="L29" s="636"/>
      <c r="O29" s="2"/>
      <c r="P29" s="2"/>
    </row>
    <row r="30" spans="1:16" s="152" customFormat="1" x14ac:dyDescent="0.25">
      <c r="A30" s="173"/>
      <c r="B30" s="634"/>
      <c r="C30" s="635"/>
      <c r="D30" s="635"/>
      <c r="E30" s="635"/>
      <c r="F30" s="635"/>
      <c r="G30" s="635"/>
      <c r="H30" s="635"/>
      <c r="I30" s="635"/>
      <c r="J30" s="635"/>
      <c r="K30" s="635"/>
      <c r="L30" s="636"/>
    </row>
    <row r="31" spans="1:16" s="152" customFormat="1" ht="30" customHeight="1" x14ac:dyDescent="0.25">
      <c r="A31" s="173"/>
      <c r="B31" s="634"/>
      <c r="C31" s="635"/>
      <c r="D31" s="635"/>
      <c r="E31" s="635"/>
      <c r="F31" s="635"/>
      <c r="G31" s="635"/>
      <c r="H31" s="635"/>
      <c r="I31" s="635"/>
      <c r="J31" s="635"/>
      <c r="K31" s="635"/>
      <c r="L31" s="636"/>
    </row>
    <row r="32" spans="1:16" s="152" customFormat="1" x14ac:dyDescent="0.25">
      <c r="A32" s="173"/>
      <c r="B32" s="185"/>
      <c r="C32" s="174"/>
      <c r="D32" s="174"/>
      <c r="E32" s="174"/>
      <c r="F32" s="174"/>
      <c r="G32" s="174"/>
      <c r="H32" s="174"/>
      <c r="I32" s="174"/>
      <c r="J32" s="174"/>
      <c r="K32" s="174"/>
      <c r="L32" s="175"/>
    </row>
    <row r="33" spans="2:16" x14ac:dyDescent="0.25">
      <c r="B33" s="158"/>
      <c r="C33" s="731" t="str">
        <f>IF(Intro!$G$21="English",O33,P33)</f>
        <v>Firm Name</v>
      </c>
      <c r="D33" s="731"/>
      <c r="E33" s="731" t="str">
        <f>IF(Intro!$G$21="English",O34,P34)</f>
        <v>Firm Address</v>
      </c>
      <c r="F33" s="731"/>
      <c r="G33" s="731" t="str">
        <f>IF(Intro!$G$21="English",O35,P35)</f>
        <v>Nature of association</v>
      </c>
      <c r="H33" s="731"/>
      <c r="I33" s="731"/>
      <c r="J33" s="731" t="str">
        <f>IF(Intro!$G$21="English",O36,P36)</f>
        <v>Role in the Industry</v>
      </c>
      <c r="K33" s="731"/>
      <c r="L33" s="732"/>
      <c r="M33" s="2"/>
      <c r="O33" s="9" t="s">
        <v>22</v>
      </c>
      <c r="P33" s="9" t="s">
        <v>23</v>
      </c>
    </row>
    <row r="34" spans="2:16" x14ac:dyDescent="0.25">
      <c r="B34" s="158"/>
      <c r="C34" s="731"/>
      <c r="D34" s="731"/>
      <c r="E34" s="731"/>
      <c r="F34" s="731"/>
      <c r="G34" s="731"/>
      <c r="H34" s="731"/>
      <c r="I34" s="731"/>
      <c r="J34" s="731"/>
      <c r="K34" s="731"/>
      <c r="L34" s="732"/>
      <c r="M34" s="2"/>
      <c r="O34" s="9" t="s">
        <v>7</v>
      </c>
      <c r="P34" s="9" t="s">
        <v>8</v>
      </c>
    </row>
    <row r="35" spans="2:16" x14ac:dyDescent="0.25">
      <c r="B35" s="724">
        <v>1</v>
      </c>
      <c r="C35" s="592"/>
      <c r="D35" s="592"/>
      <c r="E35" s="592"/>
      <c r="F35" s="592"/>
      <c r="G35" s="592"/>
      <c r="H35" s="592"/>
      <c r="I35" s="592"/>
      <c r="J35" s="592"/>
      <c r="K35" s="592"/>
      <c r="L35" s="593"/>
      <c r="M35" s="2"/>
      <c r="O35" s="9" t="s">
        <v>405</v>
      </c>
      <c r="P35" s="9" t="s">
        <v>698</v>
      </c>
    </row>
    <row r="36" spans="2:16" x14ac:dyDescent="0.25">
      <c r="B36" s="724"/>
      <c r="C36" s="592"/>
      <c r="D36" s="592"/>
      <c r="E36" s="592"/>
      <c r="F36" s="592"/>
      <c r="G36" s="592"/>
      <c r="H36" s="592"/>
      <c r="I36" s="592"/>
      <c r="J36" s="592"/>
      <c r="K36" s="592"/>
      <c r="L36" s="593"/>
      <c r="M36" s="2"/>
      <c r="O36" s="9" t="s">
        <v>24</v>
      </c>
      <c r="P36" s="9" t="s">
        <v>25</v>
      </c>
    </row>
    <row r="37" spans="2:16" x14ac:dyDescent="0.25">
      <c r="B37" s="724">
        <v>2</v>
      </c>
      <c r="C37" s="592"/>
      <c r="D37" s="592"/>
      <c r="E37" s="592"/>
      <c r="F37" s="592"/>
      <c r="G37" s="592"/>
      <c r="H37" s="592"/>
      <c r="I37" s="592"/>
      <c r="J37" s="592"/>
      <c r="K37" s="592"/>
      <c r="L37" s="593"/>
      <c r="M37" s="2"/>
      <c r="O37" s="2"/>
      <c r="P37" s="2"/>
    </row>
    <row r="38" spans="2:16" x14ac:dyDescent="0.25">
      <c r="B38" s="724"/>
      <c r="C38" s="592"/>
      <c r="D38" s="592"/>
      <c r="E38" s="592"/>
      <c r="F38" s="592"/>
      <c r="G38" s="592"/>
      <c r="H38" s="592"/>
      <c r="I38" s="592"/>
      <c r="J38" s="592"/>
      <c r="K38" s="592"/>
      <c r="L38" s="593"/>
      <c r="M38" s="2"/>
      <c r="O38" s="2"/>
      <c r="P38" s="2"/>
    </row>
    <row r="39" spans="2:16" x14ac:dyDescent="0.25">
      <c r="B39" s="724">
        <v>3</v>
      </c>
      <c r="C39" s="592"/>
      <c r="D39" s="592"/>
      <c r="E39" s="592"/>
      <c r="F39" s="592"/>
      <c r="G39" s="592"/>
      <c r="H39" s="592"/>
      <c r="I39" s="592"/>
      <c r="J39" s="592"/>
      <c r="K39" s="592"/>
      <c r="L39" s="593"/>
      <c r="M39" s="2"/>
      <c r="O39" s="2"/>
      <c r="P39" s="2"/>
    </row>
    <row r="40" spans="2:16" x14ac:dyDescent="0.25">
      <c r="B40" s="724"/>
      <c r="C40" s="592"/>
      <c r="D40" s="592"/>
      <c r="E40" s="592"/>
      <c r="F40" s="592"/>
      <c r="G40" s="592"/>
      <c r="H40" s="592"/>
      <c r="I40" s="592"/>
      <c r="J40" s="592"/>
      <c r="K40" s="592"/>
      <c r="L40" s="593"/>
      <c r="M40" s="2"/>
    </row>
    <row r="41" spans="2:16" x14ac:dyDescent="0.25">
      <c r="B41" s="724">
        <v>4</v>
      </c>
      <c r="C41" s="592"/>
      <c r="D41" s="592"/>
      <c r="E41" s="592"/>
      <c r="F41" s="592"/>
      <c r="G41" s="592"/>
      <c r="H41" s="592"/>
      <c r="I41" s="592"/>
      <c r="J41" s="592"/>
      <c r="K41" s="592"/>
      <c r="L41" s="593"/>
      <c r="M41" s="2"/>
      <c r="O41" s="2"/>
      <c r="P41" s="2"/>
    </row>
    <row r="42" spans="2:16" x14ac:dyDescent="0.25">
      <c r="B42" s="724"/>
      <c r="C42" s="592"/>
      <c r="D42" s="592"/>
      <c r="E42" s="592"/>
      <c r="F42" s="592"/>
      <c r="G42" s="592"/>
      <c r="H42" s="592"/>
      <c r="I42" s="592"/>
      <c r="J42" s="592"/>
      <c r="K42" s="592"/>
      <c r="L42" s="593"/>
      <c r="M42" s="2"/>
      <c r="O42" s="2"/>
      <c r="P42" s="2"/>
    </row>
    <row r="43" spans="2:16" x14ac:dyDescent="0.25">
      <c r="B43" s="724">
        <v>5</v>
      </c>
      <c r="C43" s="592"/>
      <c r="D43" s="592"/>
      <c r="E43" s="592"/>
      <c r="F43" s="592"/>
      <c r="G43" s="592"/>
      <c r="H43" s="592"/>
      <c r="I43" s="592"/>
      <c r="J43" s="592"/>
      <c r="K43" s="592"/>
      <c r="L43" s="593"/>
      <c r="M43" s="2"/>
    </row>
    <row r="44" spans="2:16" x14ac:dyDescent="0.25">
      <c r="B44" s="724"/>
      <c r="C44" s="592"/>
      <c r="D44" s="592"/>
      <c r="E44" s="592"/>
      <c r="F44" s="592"/>
      <c r="G44" s="592"/>
      <c r="H44" s="592"/>
      <c r="I44" s="592"/>
      <c r="J44" s="592"/>
      <c r="K44" s="592"/>
      <c r="L44" s="593"/>
      <c r="M44" s="2"/>
    </row>
    <row r="45" spans="2:16" x14ac:dyDescent="0.25">
      <c r="B45" s="724">
        <v>6</v>
      </c>
      <c r="C45" s="592"/>
      <c r="D45" s="592"/>
      <c r="E45" s="592"/>
      <c r="F45" s="592"/>
      <c r="G45" s="592"/>
      <c r="H45" s="592"/>
      <c r="I45" s="592"/>
      <c r="J45" s="592"/>
      <c r="K45" s="592"/>
      <c r="L45" s="593"/>
      <c r="M45" s="2"/>
    </row>
    <row r="46" spans="2:16" x14ac:dyDescent="0.25">
      <c r="B46" s="724"/>
      <c r="C46" s="592"/>
      <c r="D46" s="592"/>
      <c r="E46" s="592"/>
      <c r="F46" s="592"/>
      <c r="G46" s="592"/>
      <c r="H46" s="592"/>
      <c r="I46" s="592"/>
      <c r="J46" s="592"/>
      <c r="K46" s="592"/>
      <c r="L46" s="593"/>
      <c r="M46" s="2"/>
    </row>
    <row r="47" spans="2:16" x14ac:dyDescent="0.25">
      <c r="B47" s="724">
        <v>7</v>
      </c>
      <c r="C47" s="592"/>
      <c r="D47" s="592"/>
      <c r="E47" s="592"/>
      <c r="F47" s="592"/>
      <c r="G47" s="592"/>
      <c r="H47" s="592"/>
      <c r="I47" s="592"/>
      <c r="J47" s="592"/>
      <c r="K47" s="592"/>
      <c r="L47" s="593"/>
      <c r="M47" s="2"/>
    </row>
    <row r="48" spans="2:16" x14ac:dyDescent="0.25">
      <c r="B48" s="724"/>
      <c r="C48" s="592"/>
      <c r="D48" s="592"/>
      <c r="E48" s="592"/>
      <c r="F48" s="592"/>
      <c r="G48" s="592"/>
      <c r="H48" s="592"/>
      <c r="I48" s="592"/>
      <c r="J48" s="592"/>
      <c r="K48" s="592"/>
      <c r="L48" s="593"/>
      <c r="M48" s="2"/>
    </row>
    <row r="49" spans="1:16" x14ac:dyDescent="0.25">
      <c r="B49" s="724">
        <v>8</v>
      </c>
      <c r="C49" s="592"/>
      <c r="D49" s="592"/>
      <c r="E49" s="592"/>
      <c r="F49" s="592"/>
      <c r="G49" s="592"/>
      <c r="H49" s="592"/>
      <c r="I49" s="592"/>
      <c r="J49" s="592"/>
      <c r="K49" s="592"/>
      <c r="L49" s="593"/>
      <c r="M49" s="2"/>
    </row>
    <row r="50" spans="1:16" x14ac:dyDescent="0.25">
      <c r="B50" s="724"/>
      <c r="C50" s="592"/>
      <c r="D50" s="592"/>
      <c r="E50" s="592"/>
      <c r="F50" s="592"/>
      <c r="G50" s="592"/>
      <c r="H50" s="592"/>
      <c r="I50" s="592"/>
      <c r="J50" s="592"/>
      <c r="K50" s="592"/>
      <c r="L50" s="593"/>
      <c r="M50" s="2"/>
    </row>
    <row r="51" spans="1:16" x14ac:dyDescent="0.25">
      <c r="B51" s="724">
        <v>9</v>
      </c>
      <c r="C51" s="592"/>
      <c r="D51" s="592"/>
      <c r="E51" s="592"/>
      <c r="F51" s="592"/>
      <c r="G51" s="592"/>
      <c r="H51" s="592"/>
      <c r="I51" s="592"/>
      <c r="J51" s="592"/>
      <c r="K51" s="592"/>
      <c r="L51" s="593"/>
      <c r="M51" s="2"/>
    </row>
    <row r="52" spans="1:16" x14ac:dyDescent="0.25">
      <c r="B52" s="724"/>
      <c r="C52" s="592"/>
      <c r="D52" s="592"/>
      <c r="E52" s="592"/>
      <c r="F52" s="592"/>
      <c r="G52" s="592"/>
      <c r="H52" s="592"/>
      <c r="I52" s="592"/>
      <c r="J52" s="592"/>
      <c r="K52" s="592"/>
      <c r="L52" s="593"/>
      <c r="M52" s="2"/>
    </row>
    <row r="53" spans="1:16" x14ac:dyDescent="0.25">
      <c r="B53" s="724">
        <v>10</v>
      </c>
      <c r="C53" s="592"/>
      <c r="D53" s="592"/>
      <c r="E53" s="592"/>
      <c r="F53" s="592"/>
      <c r="G53" s="592"/>
      <c r="H53" s="592"/>
      <c r="I53" s="592"/>
      <c r="J53" s="592"/>
      <c r="K53" s="592"/>
      <c r="L53" s="593"/>
      <c r="M53" s="2"/>
    </row>
    <row r="54" spans="1:16" x14ac:dyDescent="0.25">
      <c r="B54" s="724"/>
      <c r="C54" s="592"/>
      <c r="D54" s="592"/>
      <c r="E54" s="592"/>
      <c r="F54" s="592"/>
      <c r="G54" s="592"/>
      <c r="H54" s="592"/>
      <c r="I54" s="592"/>
      <c r="J54" s="592"/>
      <c r="K54" s="592"/>
      <c r="L54" s="593"/>
      <c r="M54" s="2"/>
    </row>
    <row r="55" spans="1:16" s="152" customFormat="1" x14ac:dyDescent="0.25">
      <c r="A55" s="173"/>
      <c r="B55" s="187"/>
      <c r="C55" s="188"/>
      <c r="D55" s="188"/>
      <c r="E55" s="188"/>
      <c r="F55" s="188"/>
      <c r="G55" s="188"/>
      <c r="H55" s="188"/>
      <c r="I55" s="188"/>
      <c r="J55" s="188"/>
      <c r="K55" s="188"/>
      <c r="L55" s="186"/>
      <c r="O55" s="9"/>
      <c r="P55" s="9"/>
    </row>
    <row r="56" spans="1:16" s="3" customFormat="1" x14ac:dyDescent="0.25">
      <c r="A56" s="12"/>
      <c r="B56" s="711" t="s">
        <v>26</v>
      </c>
      <c r="C56" s="712"/>
      <c r="D56" s="712"/>
      <c r="E56" s="712"/>
      <c r="F56" s="712"/>
      <c r="G56" s="712"/>
      <c r="H56" s="712"/>
      <c r="I56" s="712"/>
      <c r="J56" s="712"/>
      <c r="K56" s="712"/>
      <c r="L56" s="713"/>
      <c r="M56" s="168"/>
      <c r="O56" s="154"/>
      <c r="P56" s="154"/>
    </row>
    <row r="57" spans="1:16" s="152" customFormat="1" x14ac:dyDescent="0.25">
      <c r="A57" s="173"/>
      <c r="B57" s="185"/>
      <c r="C57" s="174"/>
      <c r="D57" s="174"/>
      <c r="E57" s="174"/>
      <c r="F57" s="174"/>
      <c r="G57" s="174"/>
      <c r="H57" s="174"/>
      <c r="I57" s="174"/>
      <c r="J57" s="174"/>
      <c r="K57" s="174"/>
      <c r="L57" s="175"/>
      <c r="O57" s="9"/>
      <c r="P57" s="9"/>
    </row>
    <row r="58" spans="1:16" s="152" customFormat="1" x14ac:dyDescent="0.25">
      <c r="A58" s="173"/>
      <c r="B58" s="612" t="str">
        <f>IF(Intro!$G$21="English",O58,P58)</f>
        <v>Provide details of any change of majority ownership of your firm since January 1, 2023.</v>
      </c>
      <c r="C58" s="613"/>
      <c r="D58" s="613"/>
      <c r="E58" s="613"/>
      <c r="F58" s="613"/>
      <c r="G58" s="613"/>
      <c r="H58" s="613"/>
      <c r="I58" s="613"/>
      <c r="J58" s="613"/>
      <c r="K58" s="613"/>
      <c r="L58" s="614"/>
      <c r="O58" s="9" t="str">
        <f>"Provide details of any change of majority ownership of your firm since January 1, "&amp;Variables!B6&amp;"."</f>
        <v>Provide details of any change of majority ownership of your firm since January 1, 2023.</v>
      </c>
      <c r="P58" s="9" t="str">
        <f>"Fournissez des détails sur tout changement dans la propriété majoritaire de votre entreprise depuis le 1er janvier "&amp;Variables!B6&amp;"."</f>
        <v>Fournissez des détails sur tout changement dans la propriété majoritaire de votre entreprise depuis le 1er janvier 2023.</v>
      </c>
    </row>
    <row r="59" spans="1:16" s="152" customFormat="1" x14ac:dyDescent="0.25">
      <c r="A59" s="173"/>
      <c r="B59" s="185"/>
      <c r="C59" s="174"/>
      <c r="D59" s="174"/>
      <c r="E59" s="174"/>
      <c r="F59" s="174"/>
      <c r="G59" s="174"/>
      <c r="H59" s="174"/>
      <c r="I59" s="174"/>
      <c r="J59" s="174"/>
      <c r="K59" s="174"/>
      <c r="L59" s="175"/>
      <c r="O59" s="9"/>
      <c r="P59" s="9"/>
    </row>
    <row r="60" spans="1:16" s="3" customFormat="1" x14ac:dyDescent="0.25">
      <c r="A60" s="12"/>
      <c r="B60" s="705"/>
      <c r="C60" s="706"/>
      <c r="D60" s="706"/>
      <c r="E60" s="706"/>
      <c r="F60" s="706"/>
      <c r="G60" s="706"/>
      <c r="H60" s="706"/>
      <c r="I60" s="706"/>
      <c r="J60" s="706"/>
      <c r="K60" s="706"/>
      <c r="L60" s="707"/>
      <c r="M60" s="152"/>
      <c r="O60" s="154"/>
      <c r="P60" s="154"/>
    </row>
    <row r="61" spans="1:16" s="3" customFormat="1" x14ac:dyDescent="0.25">
      <c r="A61" s="12"/>
      <c r="B61" s="705"/>
      <c r="C61" s="706"/>
      <c r="D61" s="706"/>
      <c r="E61" s="706"/>
      <c r="F61" s="706"/>
      <c r="G61" s="706"/>
      <c r="H61" s="706"/>
      <c r="I61" s="706"/>
      <c r="J61" s="706"/>
      <c r="K61" s="706"/>
      <c r="L61" s="707"/>
      <c r="M61" s="152"/>
      <c r="O61" s="154"/>
      <c r="P61" s="154"/>
    </row>
    <row r="62" spans="1:16" s="3" customFormat="1" x14ac:dyDescent="0.25">
      <c r="A62" s="12"/>
      <c r="B62" s="705"/>
      <c r="C62" s="706"/>
      <c r="D62" s="706"/>
      <c r="E62" s="706"/>
      <c r="F62" s="706"/>
      <c r="G62" s="706"/>
      <c r="H62" s="706"/>
      <c r="I62" s="706"/>
      <c r="J62" s="706"/>
      <c r="K62" s="706"/>
      <c r="L62" s="707"/>
      <c r="M62" s="152"/>
      <c r="O62" s="154"/>
      <c r="P62" s="154"/>
    </row>
    <row r="63" spans="1:16" s="3" customFormat="1" x14ac:dyDescent="0.25">
      <c r="A63" s="12"/>
      <c r="B63" s="705"/>
      <c r="C63" s="706"/>
      <c r="D63" s="706"/>
      <c r="E63" s="706"/>
      <c r="F63" s="706"/>
      <c r="G63" s="706"/>
      <c r="H63" s="706"/>
      <c r="I63" s="706"/>
      <c r="J63" s="706"/>
      <c r="K63" s="706"/>
      <c r="L63" s="707"/>
      <c r="M63" s="152"/>
      <c r="O63" s="154"/>
      <c r="P63" s="154"/>
    </row>
    <row r="64" spans="1:16" s="3" customFormat="1" x14ac:dyDescent="0.25">
      <c r="A64" s="12"/>
      <c r="B64" s="705"/>
      <c r="C64" s="706"/>
      <c r="D64" s="706"/>
      <c r="E64" s="706"/>
      <c r="F64" s="706"/>
      <c r="G64" s="706"/>
      <c r="H64" s="706"/>
      <c r="I64" s="706"/>
      <c r="J64" s="706"/>
      <c r="K64" s="706"/>
      <c r="L64" s="707"/>
      <c r="M64" s="152"/>
      <c r="O64" s="154"/>
      <c r="P64" s="154"/>
    </row>
    <row r="65" spans="1:16" s="3" customFormat="1" x14ac:dyDescent="0.25">
      <c r="A65" s="12"/>
      <c r="B65" s="705"/>
      <c r="C65" s="706"/>
      <c r="D65" s="706"/>
      <c r="E65" s="706"/>
      <c r="F65" s="706"/>
      <c r="G65" s="706"/>
      <c r="H65" s="706"/>
      <c r="I65" s="706"/>
      <c r="J65" s="706"/>
      <c r="K65" s="706"/>
      <c r="L65" s="707"/>
      <c r="M65" s="152"/>
      <c r="O65" s="154"/>
      <c r="P65" s="154"/>
    </row>
    <row r="66" spans="1:16" s="3" customFormat="1" x14ac:dyDescent="0.25">
      <c r="A66" s="12"/>
      <c r="B66" s="705"/>
      <c r="C66" s="706"/>
      <c r="D66" s="706"/>
      <c r="E66" s="706"/>
      <c r="F66" s="706"/>
      <c r="G66" s="706"/>
      <c r="H66" s="706"/>
      <c r="I66" s="706"/>
      <c r="J66" s="706"/>
      <c r="K66" s="706"/>
      <c r="L66" s="707"/>
      <c r="M66" s="152"/>
      <c r="O66" s="154"/>
      <c r="P66" s="154"/>
    </row>
    <row r="67" spans="1:16" s="3" customFormat="1" x14ac:dyDescent="0.25">
      <c r="A67" s="12"/>
      <c r="B67" s="705"/>
      <c r="C67" s="706"/>
      <c r="D67" s="706"/>
      <c r="E67" s="706"/>
      <c r="F67" s="706"/>
      <c r="G67" s="706"/>
      <c r="H67" s="706"/>
      <c r="I67" s="706"/>
      <c r="J67" s="706"/>
      <c r="K67" s="706"/>
      <c r="L67" s="707"/>
      <c r="M67" s="152"/>
      <c r="O67" s="154"/>
      <c r="P67" s="154"/>
    </row>
    <row r="68" spans="1:16" s="152" customFormat="1" x14ac:dyDescent="0.25">
      <c r="A68" s="173"/>
      <c r="B68" s="187"/>
      <c r="C68" s="188"/>
      <c r="D68" s="188"/>
      <c r="E68" s="188"/>
      <c r="F68" s="188"/>
      <c r="G68" s="188"/>
      <c r="H68" s="188"/>
      <c r="I68" s="188"/>
      <c r="J68" s="188"/>
      <c r="K68" s="188"/>
      <c r="L68" s="186"/>
      <c r="O68" s="9"/>
      <c r="P68" s="9"/>
    </row>
    <row r="69" spans="1:16" s="3" customFormat="1" x14ac:dyDescent="0.25">
      <c r="A69" s="12"/>
      <c r="B69" s="711" t="s">
        <v>27</v>
      </c>
      <c r="C69" s="712"/>
      <c r="D69" s="712"/>
      <c r="E69" s="712"/>
      <c r="F69" s="712"/>
      <c r="G69" s="712"/>
      <c r="H69" s="712"/>
      <c r="I69" s="712"/>
      <c r="J69" s="712"/>
      <c r="K69" s="712"/>
      <c r="L69" s="713"/>
      <c r="M69" s="168"/>
      <c r="O69" s="154"/>
      <c r="P69" s="154"/>
    </row>
    <row r="70" spans="1:16" s="152" customFormat="1" x14ac:dyDescent="0.25">
      <c r="A70" s="173"/>
      <c r="B70" s="185"/>
      <c r="C70" s="174"/>
      <c r="D70" s="174"/>
      <c r="E70" s="174"/>
      <c r="F70" s="174"/>
      <c r="G70" s="174"/>
      <c r="H70" s="174"/>
      <c r="I70" s="174"/>
      <c r="J70" s="174"/>
      <c r="K70" s="174"/>
      <c r="L70" s="175"/>
      <c r="O70" s="9"/>
      <c r="P70" s="9"/>
    </row>
    <row r="71" spans="1:16" s="152" customFormat="1" x14ac:dyDescent="0.25">
      <c r="A71" s="173"/>
      <c r="B71" s="612" t="str">
        <f>IF(Intro!$G$21="English",O71,P71)</f>
        <v>If your firm is publicly traded, specify the stock exchange and trading symbol.</v>
      </c>
      <c r="C71" s="613"/>
      <c r="D71" s="613"/>
      <c r="E71" s="613"/>
      <c r="F71" s="613"/>
      <c r="G71" s="613"/>
      <c r="H71" s="613"/>
      <c r="I71" s="613"/>
      <c r="J71" s="613"/>
      <c r="K71" s="613"/>
      <c r="L71" s="614"/>
      <c r="O71" s="9" t="s">
        <v>138</v>
      </c>
      <c r="P71" s="9" t="s">
        <v>139</v>
      </c>
    </row>
    <row r="72" spans="1:16" s="152" customFormat="1" x14ac:dyDescent="0.25">
      <c r="A72" s="173"/>
      <c r="B72" s="185"/>
      <c r="C72" s="174"/>
      <c r="D72" s="174"/>
      <c r="E72" s="174"/>
      <c r="F72" s="174"/>
      <c r="G72" s="174"/>
      <c r="H72" s="174"/>
      <c r="I72" s="174"/>
      <c r="J72" s="174"/>
      <c r="K72" s="174"/>
      <c r="L72" s="175"/>
      <c r="O72" s="9"/>
      <c r="P72" s="9"/>
    </row>
    <row r="73" spans="1:16" s="3" customFormat="1" x14ac:dyDescent="0.25">
      <c r="A73" s="12"/>
      <c r="B73" s="705"/>
      <c r="C73" s="706"/>
      <c r="D73" s="706"/>
      <c r="E73" s="706"/>
      <c r="F73" s="706"/>
      <c r="G73" s="706"/>
      <c r="H73" s="706"/>
      <c r="I73" s="706"/>
      <c r="J73" s="706"/>
      <c r="K73" s="706"/>
      <c r="L73" s="707"/>
      <c r="M73" s="152"/>
      <c r="O73" s="154"/>
      <c r="P73" s="154"/>
    </row>
    <row r="74" spans="1:16" s="3" customFormat="1" x14ac:dyDescent="0.25">
      <c r="A74" s="12"/>
      <c r="B74" s="705"/>
      <c r="C74" s="706"/>
      <c r="D74" s="706"/>
      <c r="E74" s="706"/>
      <c r="F74" s="706"/>
      <c r="G74" s="706"/>
      <c r="H74" s="706"/>
      <c r="I74" s="706"/>
      <c r="J74" s="706"/>
      <c r="K74" s="706"/>
      <c r="L74" s="707"/>
      <c r="M74" s="152"/>
      <c r="O74" s="154"/>
      <c r="P74" s="154"/>
    </row>
    <row r="75" spans="1:16" s="3" customFormat="1" x14ac:dyDescent="0.25">
      <c r="A75" s="12"/>
      <c r="B75" s="705"/>
      <c r="C75" s="706"/>
      <c r="D75" s="706"/>
      <c r="E75" s="706"/>
      <c r="F75" s="706"/>
      <c r="G75" s="706"/>
      <c r="H75" s="706"/>
      <c r="I75" s="706"/>
      <c r="J75" s="706"/>
      <c r="K75" s="706"/>
      <c r="L75" s="707"/>
      <c r="M75" s="152"/>
      <c r="O75" s="154"/>
      <c r="P75" s="154"/>
    </row>
    <row r="76" spans="1:16" s="3" customFormat="1" x14ac:dyDescent="0.25">
      <c r="A76" s="12"/>
      <c r="B76" s="705"/>
      <c r="C76" s="706"/>
      <c r="D76" s="706"/>
      <c r="E76" s="706"/>
      <c r="F76" s="706"/>
      <c r="G76" s="706"/>
      <c r="H76" s="706"/>
      <c r="I76" s="706"/>
      <c r="J76" s="706"/>
      <c r="K76" s="706"/>
      <c r="L76" s="707"/>
      <c r="M76" s="152"/>
      <c r="O76" s="154"/>
      <c r="P76" s="154"/>
    </row>
    <row r="77" spans="1:16" s="3" customFormat="1" x14ac:dyDescent="0.25">
      <c r="A77" s="12"/>
      <c r="B77" s="705"/>
      <c r="C77" s="706"/>
      <c r="D77" s="706"/>
      <c r="E77" s="706"/>
      <c r="F77" s="706"/>
      <c r="G77" s="706"/>
      <c r="H77" s="706"/>
      <c r="I77" s="706"/>
      <c r="J77" s="706"/>
      <c r="K77" s="706"/>
      <c r="L77" s="707"/>
      <c r="M77" s="152"/>
      <c r="O77" s="154"/>
      <c r="P77" s="154"/>
    </row>
    <row r="78" spans="1:16" s="3" customFormat="1" x14ac:dyDescent="0.25">
      <c r="A78" s="12"/>
      <c r="B78" s="705"/>
      <c r="C78" s="706"/>
      <c r="D78" s="706"/>
      <c r="E78" s="706"/>
      <c r="F78" s="706"/>
      <c r="G78" s="706"/>
      <c r="H78" s="706"/>
      <c r="I78" s="706"/>
      <c r="J78" s="706"/>
      <c r="K78" s="706"/>
      <c r="L78" s="707"/>
      <c r="M78" s="152"/>
      <c r="O78" s="154"/>
      <c r="P78" s="154"/>
    </row>
    <row r="79" spans="1:16" s="3" customFormat="1" x14ac:dyDescent="0.25">
      <c r="A79" s="12"/>
      <c r="B79" s="705"/>
      <c r="C79" s="706"/>
      <c r="D79" s="706"/>
      <c r="E79" s="706"/>
      <c r="F79" s="706"/>
      <c r="G79" s="706"/>
      <c r="H79" s="706"/>
      <c r="I79" s="706"/>
      <c r="J79" s="706"/>
      <c r="K79" s="706"/>
      <c r="L79" s="707"/>
      <c r="M79" s="152"/>
      <c r="O79" s="154"/>
      <c r="P79" s="154"/>
    </row>
    <row r="80" spans="1:16" s="3" customFormat="1" x14ac:dyDescent="0.25">
      <c r="A80" s="12"/>
      <c r="B80" s="705"/>
      <c r="C80" s="706"/>
      <c r="D80" s="706"/>
      <c r="E80" s="706"/>
      <c r="F80" s="706"/>
      <c r="G80" s="706"/>
      <c r="H80" s="706"/>
      <c r="I80" s="706"/>
      <c r="J80" s="706"/>
      <c r="K80" s="706"/>
      <c r="L80" s="707"/>
      <c r="M80" s="152"/>
      <c r="O80" s="154"/>
      <c r="P80" s="154"/>
    </row>
    <row r="81" spans="1:16" s="152" customFormat="1" x14ac:dyDescent="0.25">
      <c r="A81" s="173"/>
      <c r="B81" s="187"/>
      <c r="C81" s="188"/>
      <c r="D81" s="188"/>
      <c r="E81" s="188"/>
      <c r="F81" s="188"/>
      <c r="G81" s="188"/>
      <c r="H81" s="188"/>
      <c r="I81" s="188"/>
      <c r="J81" s="188"/>
      <c r="K81" s="188"/>
      <c r="L81" s="186"/>
      <c r="O81" s="9"/>
      <c r="P81" s="9"/>
    </row>
    <row r="82" spans="1:16" s="3" customFormat="1" x14ac:dyDescent="0.25">
      <c r="A82" s="12"/>
      <c r="B82" s="711" t="s">
        <v>28</v>
      </c>
      <c r="C82" s="712"/>
      <c r="D82" s="712"/>
      <c r="E82" s="712"/>
      <c r="F82" s="712"/>
      <c r="G82" s="712"/>
      <c r="H82" s="712"/>
      <c r="I82" s="712"/>
      <c r="J82" s="712"/>
      <c r="K82" s="712"/>
      <c r="L82" s="713"/>
      <c r="M82" s="168"/>
      <c r="O82" s="154"/>
      <c r="P82" s="154"/>
    </row>
    <row r="83" spans="1:16" s="152" customFormat="1" x14ac:dyDescent="0.25">
      <c r="A83" s="173"/>
      <c r="B83" s="185"/>
      <c r="C83" s="174"/>
      <c r="D83" s="174"/>
      <c r="E83" s="174"/>
      <c r="F83" s="174"/>
      <c r="G83" s="174"/>
      <c r="H83" s="174"/>
      <c r="I83" s="174"/>
      <c r="J83" s="174"/>
      <c r="K83" s="174"/>
      <c r="L83" s="175"/>
      <c r="O83" s="9"/>
      <c r="P83" s="9"/>
    </row>
    <row r="84" spans="1:16" s="152" customFormat="1" x14ac:dyDescent="0.25">
      <c r="A84" s="173"/>
      <c r="B84" s="708" t="str">
        <f>IF(Intro!$G$21="English",O84,P84)</f>
        <v>Did your firm publish annual reports to shareholders for each year since January 1, 2023?</v>
      </c>
      <c r="C84" s="709"/>
      <c r="D84" s="709"/>
      <c r="E84" s="709"/>
      <c r="F84" s="709"/>
      <c r="G84" s="709"/>
      <c r="H84" s="709"/>
      <c r="I84" s="709"/>
      <c r="J84" s="709"/>
      <c r="K84" s="709"/>
      <c r="L84" s="710"/>
      <c r="O84" s="9" t="str">
        <f>"Did your firm publish annual reports to shareholders for each year since January 1, "&amp;Variables!B6&amp;"?"</f>
        <v>Did your firm publish annual reports to shareholders for each year since January 1, 2023?</v>
      </c>
      <c r="P84" s="9" t="str">
        <f>"Votre entreprise a-t-elle publié des rapports annuel à l’intention de ses actionnaires pour chaque année depuis le 1er janvier "&amp;Variables!C6&amp;"?"</f>
        <v>Votre entreprise a-t-elle publié des rapports annuel à l’intention de ses actionnaires pour chaque année depuis le 1er janvier 2023?</v>
      </c>
    </row>
    <row r="85" spans="1:16" x14ac:dyDescent="0.25">
      <c r="B85" s="708"/>
      <c r="C85" s="709"/>
      <c r="D85" s="709"/>
      <c r="E85" s="709"/>
      <c r="F85" s="709"/>
      <c r="G85" s="709"/>
      <c r="H85" s="709"/>
      <c r="I85" s="709"/>
      <c r="J85" s="709"/>
      <c r="K85" s="709"/>
      <c r="L85" s="710"/>
      <c r="M85" s="2"/>
      <c r="O85" s="2"/>
      <c r="P85" s="2"/>
    </row>
    <row r="86" spans="1:16" x14ac:dyDescent="0.25">
      <c r="B86" s="722" t="str">
        <f>IF(Intro!$G$21="English",O86,P86)</f>
        <v>Select Yes or No</v>
      </c>
      <c r="C86" s="723"/>
      <c r="D86" s="291"/>
      <c r="E86" s="151"/>
      <c r="F86" s="151"/>
      <c r="G86" s="151"/>
      <c r="H86" s="151"/>
      <c r="I86" s="151"/>
      <c r="J86" s="151"/>
      <c r="K86" s="151"/>
      <c r="L86" s="162"/>
      <c r="M86" s="2"/>
      <c r="O86" s="2" t="s">
        <v>362</v>
      </c>
      <c r="P86" s="2" t="s">
        <v>671</v>
      </c>
    </row>
    <row r="87" spans="1:16" x14ac:dyDescent="0.25">
      <c r="B87" s="164"/>
      <c r="C87" s="2"/>
      <c r="D87" s="151"/>
      <c r="E87" s="151"/>
      <c r="F87" s="151"/>
      <c r="G87" s="151"/>
      <c r="H87" s="151"/>
      <c r="I87" s="151"/>
      <c r="J87" s="151"/>
      <c r="K87" s="151"/>
      <c r="L87" s="162"/>
      <c r="M87" s="2"/>
      <c r="O87" s="11"/>
      <c r="P87" s="2"/>
    </row>
    <row r="88" spans="1:16" s="152" customFormat="1" x14ac:dyDescent="0.25">
      <c r="A88" s="173"/>
      <c r="B88" s="708" t="str">
        <f>IF(Intro!$G$21="English",O88,P88)</f>
        <v xml:space="preserve">If yes, please provide copies of the annual report for each year since January 1, 2023. </v>
      </c>
      <c r="C88" s="709"/>
      <c r="D88" s="709"/>
      <c r="E88" s="709"/>
      <c r="F88" s="709"/>
      <c r="G88" s="709"/>
      <c r="H88" s="709"/>
      <c r="I88" s="709"/>
      <c r="J88" s="709"/>
      <c r="K88" s="709"/>
      <c r="L88" s="710"/>
      <c r="O88" s="9" t="str">
        <f>"If yes, please provide copies of the annual report for each year since January 1, "&amp;Variables!B6&amp;". "</f>
        <v xml:space="preserve">If yes, please provide copies of the annual report for each year since January 1, 2023. </v>
      </c>
      <c r="P88" s="9" t="str">
        <f>"Si oui, fournissez des copies électroniques pour chaque année depuis le 1er janvier "&amp;Variables!C6&amp;"."</f>
        <v>Si oui, fournissez des copies électroniques pour chaque année depuis le 1er janvier 2023.</v>
      </c>
    </row>
    <row r="89" spans="1:16" s="3" customFormat="1" x14ac:dyDescent="0.25">
      <c r="A89" s="12"/>
      <c r="B89" s="705"/>
      <c r="C89" s="706"/>
      <c r="D89" s="706"/>
      <c r="E89" s="706"/>
      <c r="F89" s="706"/>
      <c r="G89" s="706"/>
      <c r="H89" s="706"/>
      <c r="I89" s="706"/>
      <c r="J89" s="706"/>
      <c r="K89" s="706"/>
      <c r="L89" s="707"/>
      <c r="M89" s="152"/>
      <c r="O89" s="154"/>
      <c r="P89" s="154"/>
    </row>
    <row r="90" spans="1:16" s="3" customFormat="1" x14ac:dyDescent="0.25">
      <c r="A90" s="12"/>
      <c r="B90" s="705"/>
      <c r="C90" s="706"/>
      <c r="D90" s="706"/>
      <c r="E90" s="706"/>
      <c r="F90" s="706"/>
      <c r="G90" s="706"/>
      <c r="H90" s="706"/>
      <c r="I90" s="706"/>
      <c r="J90" s="706"/>
      <c r="K90" s="706"/>
      <c r="L90" s="707"/>
      <c r="M90" s="152"/>
      <c r="O90" s="154"/>
      <c r="P90" s="154"/>
    </row>
    <row r="91" spans="1:16" s="3" customFormat="1" x14ac:dyDescent="0.25">
      <c r="A91" s="12"/>
      <c r="B91" s="705"/>
      <c r="C91" s="706"/>
      <c r="D91" s="706"/>
      <c r="E91" s="706"/>
      <c r="F91" s="706"/>
      <c r="G91" s="706"/>
      <c r="H91" s="706"/>
      <c r="I91" s="706"/>
      <c r="J91" s="706"/>
      <c r="K91" s="706"/>
      <c r="L91" s="707"/>
      <c r="M91" s="152"/>
      <c r="O91" s="154"/>
      <c r="P91" s="154"/>
    </row>
    <row r="92" spans="1:16" s="3" customFormat="1" x14ac:dyDescent="0.25">
      <c r="A92" s="12"/>
      <c r="B92" s="705"/>
      <c r="C92" s="706"/>
      <c r="D92" s="706"/>
      <c r="E92" s="706"/>
      <c r="F92" s="706"/>
      <c r="G92" s="706"/>
      <c r="H92" s="706"/>
      <c r="I92" s="706"/>
      <c r="J92" s="706"/>
      <c r="K92" s="706"/>
      <c r="L92" s="707"/>
      <c r="M92" s="152"/>
      <c r="O92" s="154"/>
      <c r="P92" s="154"/>
    </row>
    <row r="93" spans="1:16" s="152" customFormat="1" x14ac:dyDescent="0.25">
      <c r="A93" s="173"/>
      <c r="B93" s="187"/>
      <c r="C93" s="188"/>
      <c r="D93" s="188"/>
      <c r="E93" s="188"/>
      <c r="F93" s="188"/>
      <c r="G93" s="188"/>
      <c r="H93" s="188"/>
      <c r="I93" s="188"/>
      <c r="J93" s="188"/>
      <c r="K93" s="188"/>
      <c r="L93" s="186"/>
      <c r="O93" s="9"/>
      <c r="P93" s="9"/>
    </row>
    <row r="94" spans="1:16" s="9" customFormat="1" x14ac:dyDescent="0.25">
      <c r="A94" s="13"/>
      <c r="B94" s="22"/>
      <c r="C94" s="22"/>
      <c r="D94" s="22"/>
      <c r="E94" s="23"/>
      <c r="F94" s="23"/>
      <c r="G94" s="23"/>
      <c r="H94" s="23"/>
      <c r="I94" s="23"/>
      <c r="J94" s="23"/>
      <c r="K94" s="23"/>
      <c r="L94" s="23"/>
      <c r="O94" s="10"/>
      <c r="P94" s="10"/>
    </row>
    <row r="95" spans="1:16" x14ac:dyDescent="0.25">
      <c r="B95" s="618" t="str">
        <f>IF(Intro!$G$21="English",O95,P95)</f>
        <v>PRODUCTION AND CAPACITY</v>
      </c>
      <c r="C95" s="619"/>
      <c r="D95" s="619"/>
      <c r="E95" s="619"/>
      <c r="F95" s="619"/>
      <c r="G95" s="619"/>
      <c r="H95" s="619"/>
      <c r="I95" s="619"/>
      <c r="J95" s="619"/>
      <c r="K95" s="619"/>
      <c r="L95" s="620"/>
      <c r="M95" s="152"/>
      <c r="O95" s="199" t="s">
        <v>641</v>
      </c>
      <c r="P95" s="199" t="s">
        <v>642</v>
      </c>
    </row>
    <row r="96" spans="1:16" s="3" customFormat="1" x14ac:dyDescent="0.25">
      <c r="A96" s="12"/>
      <c r="B96" s="711" t="s">
        <v>30</v>
      </c>
      <c r="C96" s="712"/>
      <c r="D96" s="712"/>
      <c r="E96" s="712"/>
      <c r="F96" s="712"/>
      <c r="G96" s="712"/>
      <c r="H96" s="712"/>
      <c r="I96" s="712"/>
      <c r="J96" s="712"/>
      <c r="K96" s="712"/>
      <c r="L96" s="713"/>
      <c r="M96" s="168"/>
      <c r="O96" s="154"/>
      <c r="P96" s="154"/>
    </row>
    <row r="97" spans="1:16" s="152" customFormat="1" x14ac:dyDescent="0.25">
      <c r="A97" s="173"/>
      <c r="B97" s="185"/>
      <c r="C97" s="174"/>
      <c r="D97" s="174"/>
      <c r="E97" s="174"/>
      <c r="F97" s="174"/>
      <c r="G97" s="174"/>
      <c r="H97" s="174"/>
      <c r="I97" s="174"/>
      <c r="J97" s="174"/>
      <c r="K97" s="174"/>
      <c r="L97" s="175"/>
      <c r="O97" s="9"/>
      <c r="P97" s="9"/>
    </row>
    <row r="98" spans="1:16" s="152" customFormat="1" x14ac:dyDescent="0.25">
      <c r="A98" s="173"/>
      <c r="B98" s="708" t="str">
        <f>IF(Intro!$G$21="English",O98,P98)</f>
        <v>Provide the following information associated with your firm's Canadian production of all products.</v>
      </c>
      <c r="C98" s="709"/>
      <c r="D98" s="709"/>
      <c r="E98" s="709"/>
      <c r="F98" s="709"/>
      <c r="G98" s="709"/>
      <c r="H98" s="709"/>
      <c r="I98" s="709"/>
      <c r="J98" s="709"/>
      <c r="K98" s="709"/>
      <c r="L98" s="710"/>
      <c r="O98" s="9" t="s">
        <v>289</v>
      </c>
      <c r="P98" s="9" t="s">
        <v>290</v>
      </c>
    </row>
    <row r="99" spans="1:16" s="152" customFormat="1" x14ac:dyDescent="0.25">
      <c r="A99" s="173"/>
      <c r="B99" s="185"/>
      <c r="C99" s="174"/>
      <c r="D99" s="174"/>
      <c r="E99" s="174"/>
      <c r="F99" s="174"/>
      <c r="G99" s="174"/>
      <c r="H99" s="174"/>
      <c r="I99" s="174"/>
      <c r="J99" s="174"/>
      <c r="K99" s="174"/>
      <c r="L99" s="175"/>
    </row>
    <row r="100" spans="1:16" x14ac:dyDescent="0.25">
      <c r="B100" s="221"/>
      <c r="C100" s="720" t="str">
        <f>IF(Intro!$G$21="English",O100,P100)</f>
        <v>Facility Name and Location</v>
      </c>
      <c r="D100" s="720"/>
      <c r="E100" s="720" t="str">
        <f>IF(Intro!$G$21="English",O101,P101)</f>
        <v>Explain whether this facility produces the goods for the Canadian market and/or the export market</v>
      </c>
      <c r="F100" s="720"/>
      <c r="G100" s="720" t="str">
        <f>IF(Intro!$G$21="English",O102,P102)</f>
        <v xml:space="preserve">Description and specifications of the goods produced </v>
      </c>
      <c r="H100" s="720"/>
      <c r="I100" s="720" t="str">
        <f>IF(Intro!$G$21="English",O103,P103)</f>
        <v>If this facility does not produce the goods, what modifications would be needed to be able to produce the goods?</v>
      </c>
      <c r="J100" s="720"/>
      <c r="K100" s="720" t="str">
        <f>IF(Intro!$G$21="English",O104,P104)</f>
        <v>What other products, if any, can be produced on the same equipment used to produce the goods?</v>
      </c>
      <c r="L100" s="721"/>
      <c r="M100" s="2"/>
      <c r="O100" s="9" t="s">
        <v>29</v>
      </c>
      <c r="P100" s="9" t="s">
        <v>140</v>
      </c>
    </row>
    <row r="101" spans="1:16" x14ac:dyDescent="0.25">
      <c r="B101" s="221"/>
      <c r="C101" s="720"/>
      <c r="D101" s="720"/>
      <c r="E101" s="720"/>
      <c r="F101" s="720"/>
      <c r="G101" s="720"/>
      <c r="H101" s="720"/>
      <c r="I101" s="720"/>
      <c r="J101" s="720"/>
      <c r="K101" s="720"/>
      <c r="L101" s="721"/>
      <c r="M101" s="2"/>
      <c r="O101" s="9" t="s">
        <v>588</v>
      </c>
      <c r="P101" s="9" t="s">
        <v>587</v>
      </c>
    </row>
    <row r="102" spans="1:16" x14ac:dyDescent="0.25">
      <c r="B102" s="221"/>
      <c r="C102" s="720"/>
      <c r="D102" s="720"/>
      <c r="E102" s="720"/>
      <c r="F102" s="720"/>
      <c r="G102" s="720"/>
      <c r="H102" s="720"/>
      <c r="I102" s="720"/>
      <c r="J102" s="720"/>
      <c r="K102" s="720"/>
      <c r="L102" s="721"/>
      <c r="M102" s="2"/>
      <c r="O102" s="9" t="s">
        <v>342</v>
      </c>
      <c r="P102" s="9" t="s">
        <v>343</v>
      </c>
    </row>
    <row r="103" spans="1:16" x14ac:dyDescent="0.25">
      <c r="B103" s="221"/>
      <c r="C103" s="720"/>
      <c r="D103" s="720"/>
      <c r="E103" s="720"/>
      <c r="F103" s="720"/>
      <c r="G103" s="720"/>
      <c r="H103" s="720"/>
      <c r="I103" s="720"/>
      <c r="J103" s="720"/>
      <c r="K103" s="720"/>
      <c r="L103" s="721"/>
      <c r="M103" s="2"/>
      <c r="O103" s="9" t="s">
        <v>345</v>
      </c>
      <c r="P103" s="9" t="s">
        <v>344</v>
      </c>
    </row>
    <row r="104" spans="1:16" x14ac:dyDescent="0.25">
      <c r="B104" s="221"/>
      <c r="C104" s="720"/>
      <c r="D104" s="720"/>
      <c r="E104" s="720"/>
      <c r="F104" s="720"/>
      <c r="G104" s="720"/>
      <c r="H104" s="720"/>
      <c r="I104" s="720"/>
      <c r="J104" s="720"/>
      <c r="K104" s="720"/>
      <c r="L104" s="721"/>
      <c r="M104" s="2"/>
      <c r="O104" s="9" t="s">
        <v>32</v>
      </c>
      <c r="P104" s="9" t="s">
        <v>113</v>
      </c>
    </row>
    <row r="105" spans="1:16" x14ac:dyDescent="0.25">
      <c r="B105" s="221"/>
      <c r="C105" s="720"/>
      <c r="D105" s="720"/>
      <c r="E105" s="720"/>
      <c r="F105" s="720"/>
      <c r="G105" s="720"/>
      <c r="H105" s="720"/>
      <c r="I105" s="720"/>
      <c r="J105" s="720"/>
      <c r="K105" s="720"/>
      <c r="L105" s="721"/>
      <c r="M105" s="2"/>
    </row>
    <row r="106" spans="1:16" x14ac:dyDescent="0.25">
      <c r="B106" s="724">
        <v>1</v>
      </c>
      <c r="C106" s="725"/>
      <c r="D106" s="592"/>
      <c r="E106" s="592"/>
      <c r="F106" s="592"/>
      <c r="G106" s="592"/>
      <c r="H106" s="592"/>
      <c r="I106" s="592"/>
      <c r="J106" s="592"/>
      <c r="K106" s="592"/>
      <c r="L106" s="593"/>
      <c r="M106" s="2"/>
      <c r="O106" s="2"/>
      <c r="P106" s="2"/>
    </row>
    <row r="107" spans="1:16" x14ac:dyDescent="0.25">
      <c r="B107" s="724"/>
      <c r="C107" s="725"/>
      <c r="D107" s="592"/>
      <c r="E107" s="592"/>
      <c r="F107" s="592"/>
      <c r="G107" s="592"/>
      <c r="H107" s="592"/>
      <c r="I107" s="592"/>
      <c r="J107" s="592"/>
      <c r="K107" s="592"/>
      <c r="L107" s="593"/>
      <c r="M107" s="2"/>
      <c r="O107" s="2"/>
      <c r="P107" s="2"/>
    </row>
    <row r="108" spans="1:16" x14ac:dyDescent="0.25">
      <c r="B108" s="724"/>
      <c r="C108" s="725"/>
      <c r="D108" s="592"/>
      <c r="E108" s="592"/>
      <c r="F108" s="592"/>
      <c r="G108" s="592"/>
      <c r="H108" s="592"/>
      <c r="I108" s="592"/>
      <c r="J108" s="592"/>
      <c r="K108" s="592"/>
      <c r="L108" s="593"/>
      <c r="M108" s="2"/>
      <c r="O108" s="2"/>
      <c r="P108" s="2"/>
    </row>
    <row r="109" spans="1:16" x14ac:dyDescent="0.25">
      <c r="B109" s="724"/>
      <c r="C109" s="725"/>
      <c r="D109" s="592"/>
      <c r="E109" s="592"/>
      <c r="F109" s="592"/>
      <c r="G109" s="592"/>
      <c r="H109" s="592"/>
      <c r="I109" s="592"/>
      <c r="J109" s="592"/>
      <c r="K109" s="592"/>
      <c r="L109" s="593"/>
      <c r="M109" s="2"/>
      <c r="O109" s="2"/>
      <c r="P109" s="2"/>
    </row>
    <row r="110" spans="1:16" x14ac:dyDescent="0.25">
      <c r="B110" s="724"/>
      <c r="C110" s="725"/>
      <c r="D110" s="592"/>
      <c r="E110" s="592"/>
      <c r="F110" s="592"/>
      <c r="G110" s="592"/>
      <c r="H110" s="592"/>
      <c r="I110" s="592"/>
      <c r="J110" s="592"/>
      <c r="K110" s="592"/>
      <c r="L110" s="593"/>
      <c r="M110" s="2"/>
      <c r="O110" s="2"/>
      <c r="P110" s="2"/>
    </row>
    <row r="111" spans="1:16" x14ac:dyDescent="0.25">
      <c r="B111" s="724"/>
      <c r="C111" s="725"/>
      <c r="D111" s="592"/>
      <c r="E111" s="592"/>
      <c r="F111" s="592"/>
      <c r="G111" s="592"/>
      <c r="H111" s="592"/>
      <c r="I111" s="592"/>
      <c r="J111" s="592"/>
      <c r="K111" s="592"/>
      <c r="L111" s="593"/>
      <c r="M111" s="2"/>
      <c r="O111" s="2"/>
      <c r="P111" s="2"/>
    </row>
    <row r="112" spans="1:16" x14ac:dyDescent="0.25">
      <c r="B112" s="724"/>
      <c r="C112" s="725"/>
      <c r="D112" s="592"/>
      <c r="E112" s="592"/>
      <c r="F112" s="592"/>
      <c r="G112" s="592"/>
      <c r="H112" s="592"/>
      <c r="I112" s="592"/>
      <c r="J112" s="592"/>
      <c r="K112" s="592"/>
      <c r="L112" s="593"/>
      <c r="M112" s="2"/>
      <c r="O112" s="2"/>
      <c r="P112" s="2"/>
    </row>
    <row r="113" spans="1:12" s="2" customFormat="1" x14ac:dyDescent="0.25">
      <c r="A113" s="12"/>
      <c r="B113" s="724"/>
      <c r="C113" s="725"/>
      <c r="D113" s="592"/>
      <c r="E113" s="592"/>
      <c r="F113" s="592"/>
      <c r="G113" s="592"/>
      <c r="H113" s="592"/>
      <c r="I113" s="592"/>
      <c r="J113" s="592"/>
      <c r="K113" s="592"/>
      <c r="L113" s="593"/>
    </row>
    <row r="114" spans="1:12" s="2" customFormat="1" x14ac:dyDescent="0.25">
      <c r="A114" s="12"/>
      <c r="B114" s="724"/>
      <c r="C114" s="725"/>
      <c r="D114" s="592"/>
      <c r="E114" s="592"/>
      <c r="F114" s="592"/>
      <c r="G114" s="592"/>
      <c r="H114" s="592"/>
      <c r="I114" s="592"/>
      <c r="J114" s="592"/>
      <c r="K114" s="592"/>
      <c r="L114" s="593"/>
    </row>
    <row r="115" spans="1:12" s="2" customFormat="1" x14ac:dyDescent="0.25">
      <c r="A115" s="12"/>
      <c r="B115" s="724"/>
      <c r="C115" s="725"/>
      <c r="D115" s="592"/>
      <c r="E115" s="592"/>
      <c r="F115" s="592"/>
      <c r="G115" s="592"/>
      <c r="H115" s="592"/>
      <c r="I115" s="592"/>
      <c r="J115" s="592"/>
      <c r="K115" s="592"/>
      <c r="L115" s="593"/>
    </row>
    <row r="116" spans="1:12" s="2" customFormat="1" x14ac:dyDescent="0.25">
      <c r="A116" s="12"/>
      <c r="B116" s="724">
        <v>2</v>
      </c>
      <c r="C116" s="725"/>
      <c r="D116" s="592"/>
      <c r="E116" s="592"/>
      <c r="F116" s="592"/>
      <c r="G116" s="592"/>
      <c r="H116" s="592"/>
      <c r="I116" s="592"/>
      <c r="J116" s="592"/>
      <c r="K116" s="592"/>
      <c r="L116" s="593"/>
    </row>
    <row r="117" spans="1:12" s="2" customFormat="1" x14ac:dyDescent="0.25">
      <c r="A117" s="12"/>
      <c r="B117" s="724"/>
      <c r="C117" s="725"/>
      <c r="D117" s="592"/>
      <c r="E117" s="592"/>
      <c r="F117" s="592"/>
      <c r="G117" s="592"/>
      <c r="H117" s="592"/>
      <c r="I117" s="592"/>
      <c r="J117" s="592"/>
      <c r="K117" s="592"/>
      <c r="L117" s="593"/>
    </row>
    <row r="118" spans="1:12" s="2" customFormat="1" x14ac:dyDescent="0.25">
      <c r="A118" s="12"/>
      <c r="B118" s="724"/>
      <c r="C118" s="725"/>
      <c r="D118" s="592"/>
      <c r="E118" s="592"/>
      <c r="F118" s="592"/>
      <c r="G118" s="592"/>
      <c r="H118" s="592"/>
      <c r="I118" s="592"/>
      <c r="J118" s="592"/>
      <c r="K118" s="592"/>
      <c r="L118" s="593"/>
    </row>
    <row r="119" spans="1:12" s="2" customFormat="1" x14ac:dyDescent="0.25">
      <c r="A119" s="12"/>
      <c r="B119" s="724"/>
      <c r="C119" s="725"/>
      <c r="D119" s="592"/>
      <c r="E119" s="592"/>
      <c r="F119" s="592"/>
      <c r="G119" s="592"/>
      <c r="H119" s="592"/>
      <c r="I119" s="592"/>
      <c r="J119" s="592"/>
      <c r="K119" s="592"/>
      <c r="L119" s="593"/>
    </row>
    <row r="120" spans="1:12" s="2" customFormat="1" x14ac:dyDescent="0.25">
      <c r="A120" s="12"/>
      <c r="B120" s="724"/>
      <c r="C120" s="725"/>
      <c r="D120" s="592"/>
      <c r="E120" s="592"/>
      <c r="F120" s="592"/>
      <c r="G120" s="592"/>
      <c r="H120" s="592"/>
      <c r="I120" s="592"/>
      <c r="J120" s="592"/>
      <c r="K120" s="592"/>
      <c r="L120" s="593"/>
    </row>
    <row r="121" spans="1:12" s="2" customFormat="1" x14ac:dyDescent="0.25">
      <c r="A121" s="12"/>
      <c r="B121" s="724"/>
      <c r="C121" s="725"/>
      <c r="D121" s="592"/>
      <c r="E121" s="592"/>
      <c r="F121" s="592"/>
      <c r="G121" s="592"/>
      <c r="H121" s="592"/>
      <c r="I121" s="592"/>
      <c r="J121" s="592"/>
      <c r="K121" s="592"/>
      <c r="L121" s="593"/>
    </row>
    <row r="122" spans="1:12" s="2" customFormat="1" x14ac:dyDescent="0.25">
      <c r="A122" s="12"/>
      <c r="B122" s="724"/>
      <c r="C122" s="725"/>
      <c r="D122" s="592"/>
      <c r="E122" s="592"/>
      <c r="F122" s="592"/>
      <c r="G122" s="592"/>
      <c r="H122" s="592"/>
      <c r="I122" s="592"/>
      <c r="J122" s="592"/>
      <c r="K122" s="592"/>
      <c r="L122" s="593"/>
    </row>
    <row r="123" spans="1:12" s="2" customFormat="1" x14ac:dyDescent="0.25">
      <c r="A123" s="12"/>
      <c r="B123" s="724"/>
      <c r="C123" s="725"/>
      <c r="D123" s="592"/>
      <c r="E123" s="592"/>
      <c r="F123" s="592"/>
      <c r="G123" s="592"/>
      <c r="H123" s="592"/>
      <c r="I123" s="592"/>
      <c r="J123" s="592"/>
      <c r="K123" s="592"/>
      <c r="L123" s="593"/>
    </row>
    <row r="124" spans="1:12" s="2" customFormat="1" x14ac:dyDescent="0.25">
      <c r="A124" s="12"/>
      <c r="B124" s="724"/>
      <c r="C124" s="725"/>
      <c r="D124" s="592"/>
      <c r="E124" s="592"/>
      <c r="F124" s="592"/>
      <c r="G124" s="592"/>
      <c r="H124" s="592"/>
      <c r="I124" s="592"/>
      <c r="J124" s="592"/>
      <c r="K124" s="592"/>
      <c r="L124" s="593"/>
    </row>
    <row r="125" spans="1:12" s="2" customFormat="1" x14ac:dyDescent="0.25">
      <c r="A125" s="12"/>
      <c r="B125" s="724"/>
      <c r="C125" s="725"/>
      <c r="D125" s="592"/>
      <c r="E125" s="592"/>
      <c r="F125" s="592"/>
      <c r="G125" s="592"/>
      <c r="H125" s="592"/>
      <c r="I125" s="592"/>
      <c r="J125" s="592"/>
      <c r="K125" s="592"/>
      <c r="L125" s="593"/>
    </row>
    <row r="126" spans="1:12" s="2" customFormat="1" x14ac:dyDescent="0.25">
      <c r="A126" s="12"/>
      <c r="B126" s="724">
        <v>3</v>
      </c>
      <c r="C126" s="725"/>
      <c r="D126" s="592"/>
      <c r="E126" s="592"/>
      <c r="F126" s="592"/>
      <c r="G126" s="592"/>
      <c r="H126" s="592"/>
      <c r="I126" s="592"/>
      <c r="J126" s="592"/>
      <c r="K126" s="592"/>
      <c r="L126" s="593"/>
    </row>
    <row r="127" spans="1:12" s="2" customFormat="1" x14ac:dyDescent="0.25">
      <c r="A127" s="12"/>
      <c r="B127" s="724"/>
      <c r="C127" s="725"/>
      <c r="D127" s="592"/>
      <c r="E127" s="592"/>
      <c r="F127" s="592"/>
      <c r="G127" s="592"/>
      <c r="H127" s="592"/>
      <c r="I127" s="592"/>
      <c r="J127" s="592"/>
      <c r="K127" s="592"/>
      <c r="L127" s="593"/>
    </row>
    <row r="128" spans="1:12" s="2" customFormat="1" x14ac:dyDescent="0.25">
      <c r="A128" s="12"/>
      <c r="B128" s="724"/>
      <c r="C128" s="725"/>
      <c r="D128" s="592"/>
      <c r="E128" s="592"/>
      <c r="F128" s="592"/>
      <c r="G128" s="592"/>
      <c r="H128" s="592"/>
      <c r="I128" s="592"/>
      <c r="J128" s="592"/>
      <c r="K128" s="592"/>
      <c r="L128" s="593"/>
    </row>
    <row r="129" spans="1:12" s="2" customFormat="1" x14ac:dyDescent="0.25">
      <c r="A129" s="12"/>
      <c r="B129" s="724"/>
      <c r="C129" s="725"/>
      <c r="D129" s="592"/>
      <c r="E129" s="592"/>
      <c r="F129" s="592"/>
      <c r="G129" s="592"/>
      <c r="H129" s="592"/>
      <c r="I129" s="592"/>
      <c r="J129" s="592"/>
      <c r="K129" s="592"/>
      <c r="L129" s="593"/>
    </row>
    <row r="130" spans="1:12" s="2" customFormat="1" x14ac:dyDescent="0.25">
      <c r="A130" s="12"/>
      <c r="B130" s="724"/>
      <c r="C130" s="725"/>
      <c r="D130" s="592"/>
      <c r="E130" s="592"/>
      <c r="F130" s="592"/>
      <c r="G130" s="592"/>
      <c r="H130" s="592"/>
      <c r="I130" s="592"/>
      <c r="J130" s="592"/>
      <c r="K130" s="592"/>
      <c r="L130" s="593"/>
    </row>
    <row r="131" spans="1:12" s="2" customFormat="1" x14ac:dyDescent="0.25">
      <c r="A131" s="12"/>
      <c r="B131" s="724"/>
      <c r="C131" s="725"/>
      <c r="D131" s="592"/>
      <c r="E131" s="592"/>
      <c r="F131" s="592"/>
      <c r="G131" s="592"/>
      <c r="H131" s="592"/>
      <c r="I131" s="592"/>
      <c r="J131" s="592"/>
      <c r="K131" s="592"/>
      <c r="L131" s="593"/>
    </row>
    <row r="132" spans="1:12" s="2" customFormat="1" x14ac:dyDescent="0.25">
      <c r="A132" s="12"/>
      <c r="B132" s="724"/>
      <c r="C132" s="725"/>
      <c r="D132" s="592"/>
      <c r="E132" s="592"/>
      <c r="F132" s="592"/>
      <c r="G132" s="592"/>
      <c r="H132" s="592"/>
      <c r="I132" s="592"/>
      <c r="J132" s="592"/>
      <c r="K132" s="592"/>
      <c r="L132" s="593"/>
    </row>
    <row r="133" spans="1:12" s="2" customFormat="1" x14ac:dyDescent="0.25">
      <c r="A133" s="12"/>
      <c r="B133" s="724"/>
      <c r="C133" s="725"/>
      <c r="D133" s="592"/>
      <c r="E133" s="592"/>
      <c r="F133" s="592"/>
      <c r="G133" s="592"/>
      <c r="H133" s="592"/>
      <c r="I133" s="592"/>
      <c r="J133" s="592"/>
      <c r="K133" s="592"/>
      <c r="L133" s="593"/>
    </row>
    <row r="134" spans="1:12" s="2" customFormat="1" x14ac:dyDescent="0.25">
      <c r="A134" s="12"/>
      <c r="B134" s="724"/>
      <c r="C134" s="725"/>
      <c r="D134" s="592"/>
      <c r="E134" s="592"/>
      <c r="F134" s="592"/>
      <c r="G134" s="592"/>
      <c r="H134" s="592"/>
      <c r="I134" s="592"/>
      <c r="J134" s="592"/>
      <c r="K134" s="592"/>
      <c r="L134" s="593"/>
    </row>
    <row r="135" spans="1:12" s="2" customFormat="1" x14ac:dyDescent="0.25">
      <c r="A135" s="12"/>
      <c r="B135" s="724"/>
      <c r="C135" s="725"/>
      <c r="D135" s="592"/>
      <c r="E135" s="592"/>
      <c r="F135" s="592"/>
      <c r="G135" s="592"/>
      <c r="H135" s="592"/>
      <c r="I135" s="592"/>
      <c r="J135" s="592"/>
      <c r="K135" s="592"/>
      <c r="L135" s="593"/>
    </row>
    <row r="136" spans="1:12" s="2" customFormat="1" x14ac:dyDescent="0.25">
      <c r="A136" s="12"/>
      <c r="B136" s="724">
        <v>4</v>
      </c>
      <c r="C136" s="725"/>
      <c r="D136" s="592"/>
      <c r="E136" s="592"/>
      <c r="F136" s="592"/>
      <c r="G136" s="592"/>
      <c r="H136" s="592"/>
      <c r="I136" s="592"/>
      <c r="J136" s="592"/>
      <c r="K136" s="592"/>
      <c r="L136" s="593"/>
    </row>
    <row r="137" spans="1:12" s="2" customFormat="1" x14ac:dyDescent="0.25">
      <c r="A137" s="12"/>
      <c r="B137" s="724"/>
      <c r="C137" s="725"/>
      <c r="D137" s="592"/>
      <c r="E137" s="592"/>
      <c r="F137" s="592"/>
      <c r="G137" s="592"/>
      <c r="H137" s="592"/>
      <c r="I137" s="592"/>
      <c r="J137" s="592"/>
      <c r="K137" s="592"/>
      <c r="L137" s="593"/>
    </row>
    <row r="138" spans="1:12" s="2" customFormat="1" x14ac:dyDescent="0.25">
      <c r="A138" s="12"/>
      <c r="B138" s="724"/>
      <c r="C138" s="725"/>
      <c r="D138" s="592"/>
      <c r="E138" s="592"/>
      <c r="F138" s="592"/>
      <c r="G138" s="592"/>
      <c r="H138" s="592"/>
      <c r="I138" s="592"/>
      <c r="J138" s="592"/>
      <c r="K138" s="592"/>
      <c r="L138" s="593"/>
    </row>
    <row r="139" spans="1:12" s="2" customFormat="1" x14ac:dyDescent="0.25">
      <c r="A139" s="12"/>
      <c r="B139" s="724"/>
      <c r="C139" s="725"/>
      <c r="D139" s="592"/>
      <c r="E139" s="592"/>
      <c r="F139" s="592"/>
      <c r="G139" s="592"/>
      <c r="H139" s="592"/>
      <c r="I139" s="592"/>
      <c r="J139" s="592"/>
      <c r="K139" s="592"/>
      <c r="L139" s="593"/>
    </row>
    <row r="140" spans="1:12" s="2" customFormat="1" x14ac:dyDescent="0.25">
      <c r="A140" s="12"/>
      <c r="B140" s="724"/>
      <c r="C140" s="725"/>
      <c r="D140" s="592"/>
      <c r="E140" s="592"/>
      <c r="F140" s="592"/>
      <c r="G140" s="592"/>
      <c r="H140" s="592"/>
      <c r="I140" s="592"/>
      <c r="J140" s="592"/>
      <c r="K140" s="592"/>
      <c r="L140" s="593"/>
    </row>
    <row r="141" spans="1:12" s="2" customFormat="1" x14ac:dyDescent="0.25">
      <c r="A141" s="12"/>
      <c r="B141" s="724"/>
      <c r="C141" s="725"/>
      <c r="D141" s="592"/>
      <c r="E141" s="592"/>
      <c r="F141" s="592"/>
      <c r="G141" s="592"/>
      <c r="H141" s="592"/>
      <c r="I141" s="592"/>
      <c r="J141" s="592"/>
      <c r="K141" s="592"/>
      <c r="L141" s="593"/>
    </row>
    <row r="142" spans="1:12" s="2" customFormat="1" x14ac:dyDescent="0.25">
      <c r="A142" s="12"/>
      <c r="B142" s="724"/>
      <c r="C142" s="725"/>
      <c r="D142" s="592"/>
      <c r="E142" s="592"/>
      <c r="F142" s="592"/>
      <c r="G142" s="592"/>
      <c r="H142" s="592"/>
      <c r="I142" s="592"/>
      <c r="J142" s="592"/>
      <c r="K142" s="592"/>
      <c r="L142" s="593"/>
    </row>
    <row r="143" spans="1:12" s="2" customFormat="1" x14ac:dyDescent="0.25">
      <c r="A143" s="12"/>
      <c r="B143" s="724"/>
      <c r="C143" s="725"/>
      <c r="D143" s="592"/>
      <c r="E143" s="592"/>
      <c r="F143" s="592"/>
      <c r="G143" s="592"/>
      <c r="H143" s="592"/>
      <c r="I143" s="592"/>
      <c r="J143" s="592"/>
      <c r="K143" s="592"/>
      <c r="L143" s="593"/>
    </row>
    <row r="144" spans="1:12" s="2" customFormat="1" x14ac:dyDescent="0.25">
      <c r="A144" s="12"/>
      <c r="B144" s="724"/>
      <c r="C144" s="725"/>
      <c r="D144" s="592"/>
      <c r="E144" s="592"/>
      <c r="F144" s="592"/>
      <c r="G144" s="592"/>
      <c r="H144" s="592"/>
      <c r="I144" s="592"/>
      <c r="J144" s="592"/>
      <c r="K144" s="592"/>
      <c r="L144" s="593"/>
    </row>
    <row r="145" spans="1:16" x14ac:dyDescent="0.25">
      <c r="B145" s="724"/>
      <c r="C145" s="725"/>
      <c r="D145" s="592"/>
      <c r="E145" s="592"/>
      <c r="F145" s="592"/>
      <c r="G145" s="592"/>
      <c r="H145" s="592"/>
      <c r="I145" s="592"/>
      <c r="J145" s="592"/>
      <c r="K145" s="592"/>
      <c r="L145" s="593"/>
      <c r="M145" s="2"/>
      <c r="O145" s="2"/>
      <c r="P145" s="2"/>
    </row>
    <row r="146" spans="1:16" x14ac:dyDescent="0.25">
      <c r="B146" s="724">
        <v>5</v>
      </c>
      <c r="C146" s="725"/>
      <c r="D146" s="592"/>
      <c r="E146" s="592"/>
      <c r="F146" s="592"/>
      <c r="G146" s="592"/>
      <c r="H146" s="592"/>
      <c r="I146" s="592"/>
      <c r="J146" s="592"/>
      <c r="K146" s="592"/>
      <c r="L146" s="593"/>
      <c r="M146" s="2"/>
      <c r="O146" s="2"/>
      <c r="P146" s="2"/>
    </row>
    <row r="147" spans="1:16" x14ac:dyDescent="0.25">
      <c r="B147" s="724"/>
      <c r="C147" s="725"/>
      <c r="D147" s="592"/>
      <c r="E147" s="592"/>
      <c r="F147" s="592"/>
      <c r="G147" s="592"/>
      <c r="H147" s="592"/>
      <c r="I147" s="592"/>
      <c r="J147" s="592"/>
      <c r="K147" s="592"/>
      <c r="L147" s="593"/>
      <c r="M147" s="2"/>
      <c r="O147" s="2"/>
      <c r="P147" s="2"/>
    </row>
    <row r="148" spans="1:16" x14ac:dyDescent="0.25">
      <c r="B148" s="724"/>
      <c r="C148" s="725"/>
      <c r="D148" s="592"/>
      <c r="E148" s="592"/>
      <c r="F148" s="592"/>
      <c r="G148" s="592"/>
      <c r="H148" s="592"/>
      <c r="I148" s="592"/>
      <c r="J148" s="592"/>
      <c r="K148" s="592"/>
      <c r="L148" s="593"/>
      <c r="M148" s="2"/>
      <c r="O148" s="2"/>
      <c r="P148" s="2"/>
    </row>
    <row r="149" spans="1:16" x14ac:dyDescent="0.25">
      <c r="B149" s="724"/>
      <c r="C149" s="725"/>
      <c r="D149" s="592"/>
      <c r="E149" s="592"/>
      <c r="F149" s="592"/>
      <c r="G149" s="592"/>
      <c r="H149" s="592"/>
      <c r="I149" s="592"/>
      <c r="J149" s="592"/>
      <c r="K149" s="592"/>
      <c r="L149" s="593"/>
      <c r="M149" s="2"/>
      <c r="O149" s="2"/>
      <c r="P149" s="2"/>
    </row>
    <row r="150" spans="1:16" x14ac:dyDescent="0.25">
      <c r="B150" s="724"/>
      <c r="C150" s="725"/>
      <c r="D150" s="592"/>
      <c r="E150" s="592"/>
      <c r="F150" s="592"/>
      <c r="G150" s="592"/>
      <c r="H150" s="592"/>
      <c r="I150" s="592"/>
      <c r="J150" s="592"/>
      <c r="K150" s="592"/>
      <c r="L150" s="593"/>
      <c r="M150" s="2"/>
      <c r="O150" s="2"/>
      <c r="P150" s="2"/>
    </row>
    <row r="151" spans="1:16" x14ac:dyDescent="0.25">
      <c r="B151" s="724"/>
      <c r="C151" s="725"/>
      <c r="D151" s="592"/>
      <c r="E151" s="592"/>
      <c r="F151" s="592"/>
      <c r="G151" s="592"/>
      <c r="H151" s="592"/>
      <c r="I151" s="592"/>
      <c r="J151" s="592"/>
      <c r="K151" s="592"/>
      <c r="L151" s="593"/>
      <c r="M151" s="2"/>
      <c r="O151" s="2"/>
      <c r="P151" s="2"/>
    </row>
    <row r="152" spans="1:16" x14ac:dyDescent="0.25">
      <c r="B152" s="724"/>
      <c r="C152" s="725"/>
      <c r="D152" s="592"/>
      <c r="E152" s="592"/>
      <c r="F152" s="592"/>
      <c r="G152" s="592"/>
      <c r="H152" s="592"/>
      <c r="I152" s="592"/>
      <c r="J152" s="592"/>
      <c r="K152" s="592"/>
      <c r="L152" s="593"/>
      <c r="M152" s="2"/>
      <c r="O152" s="2"/>
      <c r="P152" s="2"/>
    </row>
    <row r="153" spans="1:16" x14ac:dyDescent="0.25">
      <c r="B153" s="724"/>
      <c r="C153" s="725"/>
      <c r="D153" s="592"/>
      <c r="E153" s="592"/>
      <c r="F153" s="592"/>
      <c r="G153" s="592"/>
      <c r="H153" s="592"/>
      <c r="I153" s="592"/>
      <c r="J153" s="592"/>
      <c r="K153" s="592"/>
      <c r="L153" s="593"/>
      <c r="M153" s="2"/>
      <c r="O153" s="2"/>
      <c r="P153" s="2"/>
    </row>
    <row r="154" spans="1:16" x14ac:dyDescent="0.25">
      <c r="B154" s="724"/>
      <c r="C154" s="725"/>
      <c r="D154" s="592"/>
      <c r="E154" s="592"/>
      <c r="F154" s="592"/>
      <c r="G154" s="592"/>
      <c r="H154" s="592"/>
      <c r="I154" s="592"/>
      <c r="J154" s="592"/>
      <c r="K154" s="592"/>
      <c r="L154" s="593"/>
      <c r="M154" s="2"/>
      <c r="O154" s="2"/>
      <c r="P154" s="2"/>
    </row>
    <row r="155" spans="1:16" x14ac:dyDescent="0.25">
      <c r="B155" s="724"/>
      <c r="C155" s="725"/>
      <c r="D155" s="592"/>
      <c r="E155" s="592"/>
      <c r="F155" s="592"/>
      <c r="G155" s="592"/>
      <c r="H155" s="592"/>
      <c r="I155" s="592"/>
      <c r="J155" s="592"/>
      <c r="K155" s="592"/>
      <c r="L155" s="593"/>
      <c r="M155" s="2"/>
      <c r="O155" s="2"/>
      <c r="P155" s="2"/>
    </row>
    <row r="156" spans="1:16" s="152" customFormat="1" x14ac:dyDescent="0.25">
      <c r="A156" s="173"/>
      <c r="B156" s="187"/>
      <c r="C156" s="188"/>
      <c r="D156" s="188"/>
      <c r="E156" s="188"/>
      <c r="F156" s="188"/>
      <c r="G156" s="188"/>
      <c r="H156" s="188"/>
      <c r="I156" s="188"/>
      <c r="J156" s="188"/>
      <c r="K156" s="188"/>
      <c r="L156" s="186"/>
      <c r="O156" s="9"/>
      <c r="P156" s="9"/>
    </row>
    <row r="157" spans="1:16" s="3" customFormat="1" x14ac:dyDescent="0.25">
      <c r="A157" s="12"/>
      <c r="B157" s="711" t="s">
        <v>31</v>
      </c>
      <c r="C157" s="712"/>
      <c r="D157" s="712"/>
      <c r="E157" s="712"/>
      <c r="F157" s="712"/>
      <c r="G157" s="712"/>
      <c r="H157" s="712"/>
      <c r="I157" s="712"/>
      <c r="J157" s="712"/>
      <c r="K157" s="712"/>
      <c r="L157" s="713"/>
      <c r="M157" s="168"/>
      <c r="O157" s="154"/>
      <c r="P157" s="154"/>
    </row>
    <row r="158" spans="1:16" s="152" customFormat="1" x14ac:dyDescent="0.25">
      <c r="A158" s="173"/>
      <c r="B158" s="185"/>
      <c r="C158" s="174"/>
      <c r="D158" s="174"/>
      <c r="E158" s="174"/>
      <c r="F158" s="174"/>
      <c r="G158" s="174"/>
      <c r="H158" s="174"/>
      <c r="I158" s="174"/>
      <c r="J158" s="174"/>
      <c r="K158" s="174"/>
      <c r="L158" s="175"/>
      <c r="O158" s="9"/>
      <c r="P158" s="9"/>
    </row>
    <row r="159" spans="1:16" s="152" customFormat="1" x14ac:dyDescent="0.25">
      <c r="A159" s="173"/>
      <c r="B159" s="708" t="str">
        <f>IF(Intro!$G$21="English",O159,P159)</f>
        <v>Describe your firm's production processes for the goods and provide flow charts illustrating the processes.</v>
      </c>
      <c r="C159" s="709"/>
      <c r="D159" s="709"/>
      <c r="E159" s="709"/>
      <c r="F159" s="709"/>
      <c r="G159" s="709"/>
      <c r="H159" s="709"/>
      <c r="I159" s="709"/>
      <c r="J159" s="709"/>
      <c r="K159" s="709"/>
      <c r="L159" s="710"/>
      <c r="O159" s="9" t="s">
        <v>333</v>
      </c>
      <c r="P159" s="9" t="s">
        <v>334</v>
      </c>
    </row>
    <row r="160" spans="1:16" s="152" customFormat="1" x14ac:dyDescent="0.25">
      <c r="A160" s="173"/>
      <c r="B160" s="185"/>
      <c r="C160" s="174"/>
      <c r="D160" s="174"/>
      <c r="E160" s="174"/>
      <c r="F160" s="174"/>
      <c r="G160" s="174"/>
      <c r="H160" s="174"/>
      <c r="I160" s="174"/>
      <c r="J160" s="174"/>
      <c r="K160" s="174"/>
      <c r="L160" s="175"/>
      <c r="O160" s="9"/>
      <c r="P160" s="9"/>
    </row>
    <row r="161" spans="1:16" s="3" customFormat="1" x14ac:dyDescent="0.25">
      <c r="A161" s="12"/>
      <c r="B161" s="705"/>
      <c r="C161" s="706"/>
      <c r="D161" s="706"/>
      <c r="E161" s="706"/>
      <c r="F161" s="706"/>
      <c r="G161" s="706"/>
      <c r="H161" s="706"/>
      <c r="I161" s="706"/>
      <c r="J161" s="706"/>
      <c r="K161" s="706"/>
      <c r="L161" s="707"/>
      <c r="M161" s="152"/>
      <c r="O161" s="154"/>
      <c r="P161" s="154"/>
    </row>
    <row r="162" spans="1:16" s="3" customFormat="1" x14ac:dyDescent="0.25">
      <c r="A162" s="12"/>
      <c r="B162" s="705"/>
      <c r="C162" s="706"/>
      <c r="D162" s="706"/>
      <c r="E162" s="706"/>
      <c r="F162" s="706"/>
      <c r="G162" s="706"/>
      <c r="H162" s="706"/>
      <c r="I162" s="706"/>
      <c r="J162" s="706"/>
      <c r="K162" s="706"/>
      <c r="L162" s="707"/>
      <c r="M162" s="152"/>
      <c r="O162" s="154"/>
      <c r="P162" s="154"/>
    </row>
    <row r="163" spans="1:16" s="3" customFormat="1" x14ac:dyDescent="0.25">
      <c r="A163" s="12"/>
      <c r="B163" s="705"/>
      <c r="C163" s="706"/>
      <c r="D163" s="706"/>
      <c r="E163" s="706"/>
      <c r="F163" s="706"/>
      <c r="G163" s="706"/>
      <c r="H163" s="706"/>
      <c r="I163" s="706"/>
      <c r="J163" s="706"/>
      <c r="K163" s="706"/>
      <c r="L163" s="707"/>
      <c r="M163" s="152"/>
      <c r="O163" s="154"/>
      <c r="P163" s="154"/>
    </row>
    <row r="164" spans="1:16" s="3" customFormat="1" x14ac:dyDescent="0.25">
      <c r="A164" s="12"/>
      <c r="B164" s="705"/>
      <c r="C164" s="706"/>
      <c r="D164" s="706"/>
      <c r="E164" s="706"/>
      <c r="F164" s="706"/>
      <c r="G164" s="706"/>
      <c r="H164" s="706"/>
      <c r="I164" s="706"/>
      <c r="J164" s="706"/>
      <c r="K164" s="706"/>
      <c r="L164" s="707"/>
      <c r="M164" s="152"/>
      <c r="O164" s="154"/>
      <c r="P164" s="154"/>
    </row>
    <row r="165" spans="1:16" s="3" customFormat="1" x14ac:dyDescent="0.25">
      <c r="A165" s="12"/>
      <c r="B165" s="705"/>
      <c r="C165" s="706"/>
      <c r="D165" s="706"/>
      <c r="E165" s="706"/>
      <c r="F165" s="706"/>
      <c r="G165" s="706"/>
      <c r="H165" s="706"/>
      <c r="I165" s="706"/>
      <c r="J165" s="706"/>
      <c r="K165" s="706"/>
      <c r="L165" s="707"/>
      <c r="M165" s="152"/>
      <c r="O165" s="154"/>
      <c r="P165" s="154"/>
    </row>
    <row r="166" spans="1:16" s="3" customFormat="1" x14ac:dyDescent="0.25">
      <c r="A166" s="12"/>
      <c r="B166" s="705"/>
      <c r="C166" s="706"/>
      <c r="D166" s="706"/>
      <c r="E166" s="706"/>
      <c r="F166" s="706"/>
      <c r="G166" s="706"/>
      <c r="H166" s="706"/>
      <c r="I166" s="706"/>
      <c r="J166" s="706"/>
      <c r="K166" s="706"/>
      <c r="L166" s="707"/>
      <c r="M166" s="152"/>
      <c r="O166" s="154"/>
      <c r="P166" s="154"/>
    </row>
    <row r="167" spans="1:16" s="3" customFormat="1" x14ac:dyDescent="0.25">
      <c r="A167" s="12"/>
      <c r="B167" s="705"/>
      <c r="C167" s="706"/>
      <c r="D167" s="706"/>
      <c r="E167" s="706"/>
      <c r="F167" s="706"/>
      <c r="G167" s="706"/>
      <c r="H167" s="706"/>
      <c r="I167" s="706"/>
      <c r="J167" s="706"/>
      <c r="K167" s="706"/>
      <c r="L167" s="707"/>
      <c r="M167" s="152"/>
      <c r="O167" s="154"/>
      <c r="P167" s="154"/>
    </row>
    <row r="168" spans="1:16" s="3" customFormat="1" x14ac:dyDescent="0.25">
      <c r="A168" s="12"/>
      <c r="B168" s="705"/>
      <c r="C168" s="706"/>
      <c r="D168" s="706"/>
      <c r="E168" s="706"/>
      <c r="F168" s="706"/>
      <c r="G168" s="706"/>
      <c r="H168" s="706"/>
      <c r="I168" s="706"/>
      <c r="J168" s="706"/>
      <c r="K168" s="706"/>
      <c r="L168" s="707"/>
      <c r="M168" s="152"/>
      <c r="O168" s="154"/>
      <c r="P168" s="154"/>
    </row>
    <row r="169" spans="1:16" s="152" customFormat="1" x14ac:dyDescent="0.25">
      <c r="A169" s="173"/>
      <c r="B169" s="187"/>
      <c r="C169" s="188"/>
      <c r="D169" s="188"/>
      <c r="E169" s="188"/>
      <c r="F169" s="188"/>
      <c r="G169" s="188"/>
      <c r="H169" s="188"/>
      <c r="I169" s="188"/>
      <c r="J169" s="188"/>
      <c r="K169" s="188"/>
      <c r="L169" s="186"/>
      <c r="O169" s="9"/>
      <c r="P169" s="9"/>
    </row>
    <row r="170" spans="1:16" s="3" customFormat="1" x14ac:dyDescent="0.25">
      <c r="A170" s="12"/>
      <c r="B170" s="711" t="s">
        <v>33</v>
      </c>
      <c r="C170" s="712"/>
      <c r="D170" s="712"/>
      <c r="E170" s="712"/>
      <c r="F170" s="712"/>
      <c r="G170" s="712"/>
      <c r="H170" s="712"/>
      <c r="I170" s="712"/>
      <c r="J170" s="712"/>
      <c r="K170" s="712"/>
      <c r="L170" s="713"/>
      <c r="M170" s="168"/>
    </row>
    <row r="171" spans="1:16" x14ac:dyDescent="0.25">
      <c r="B171" s="170"/>
      <c r="C171" s="171"/>
      <c r="D171" s="171"/>
      <c r="E171" s="171"/>
      <c r="F171" s="171"/>
      <c r="G171" s="171"/>
      <c r="H171" s="171"/>
      <c r="I171" s="171"/>
      <c r="J171" s="171"/>
      <c r="K171" s="171"/>
      <c r="L171" s="172"/>
      <c r="M171" s="2"/>
      <c r="O171" s="2"/>
      <c r="P171" s="2"/>
    </row>
    <row r="172" spans="1:16" x14ac:dyDescent="0.25">
      <c r="B172" s="612" t="str">
        <f>IF(Intro!$G$21="English",O172,P172)</f>
        <v>List the top three direct materials used in your firm's production of the goods by value.</v>
      </c>
      <c r="C172" s="613"/>
      <c r="D172" s="613"/>
      <c r="E172" s="613"/>
      <c r="F172" s="613"/>
      <c r="G172" s="613"/>
      <c r="H172" s="613"/>
      <c r="I172" s="613"/>
      <c r="J172" s="613"/>
      <c r="K172" s="613"/>
      <c r="L172" s="614"/>
      <c r="M172" s="2"/>
      <c r="O172" s="11" t="s">
        <v>207</v>
      </c>
      <c r="P172" s="2" t="s">
        <v>208</v>
      </c>
    </row>
    <row r="173" spans="1:16" x14ac:dyDescent="0.25">
      <c r="B173" s="159"/>
      <c r="C173" s="160"/>
      <c r="D173" s="25"/>
      <c r="E173" s="26"/>
      <c r="F173" s="26"/>
      <c r="G173" s="26"/>
      <c r="H173" s="26"/>
      <c r="I173" s="26"/>
      <c r="J173" s="26"/>
      <c r="K173" s="26"/>
      <c r="L173" s="27"/>
      <c r="M173" s="2"/>
      <c r="O173" s="11"/>
      <c r="P173" s="2"/>
    </row>
    <row r="174" spans="1:16" x14ac:dyDescent="0.25">
      <c r="B174" s="726" t="str">
        <f>IF(Intro!$G$21="English",O174,P174)</f>
        <v>Direct material used 1</v>
      </c>
      <c r="C174" s="727"/>
      <c r="D174" s="728"/>
      <c r="E174" s="729"/>
      <c r="F174" s="729"/>
      <c r="G174" s="729"/>
      <c r="H174" s="729"/>
      <c r="I174" s="729"/>
      <c r="J174" s="729"/>
      <c r="K174" s="729"/>
      <c r="L174" s="730"/>
      <c r="M174" s="2"/>
      <c r="O174" s="11" t="s">
        <v>209</v>
      </c>
      <c r="P174" s="2" t="s">
        <v>210</v>
      </c>
    </row>
    <row r="175" spans="1:16" x14ac:dyDescent="0.25">
      <c r="B175" s="726" t="str">
        <f>IF(Intro!$G$21="English",O175,P175)</f>
        <v>Direct material used 2</v>
      </c>
      <c r="C175" s="727"/>
      <c r="D175" s="728"/>
      <c r="E175" s="729"/>
      <c r="F175" s="729"/>
      <c r="G175" s="729"/>
      <c r="H175" s="729"/>
      <c r="I175" s="729"/>
      <c r="J175" s="729"/>
      <c r="K175" s="729"/>
      <c r="L175" s="730"/>
      <c r="M175" s="2"/>
      <c r="O175" s="11" t="s">
        <v>211</v>
      </c>
      <c r="P175" s="2" t="s">
        <v>212</v>
      </c>
    </row>
    <row r="176" spans="1:16" x14ac:dyDescent="0.25">
      <c r="B176" s="726" t="str">
        <f>IF(Intro!$G$21="English",O176,P176)</f>
        <v>Direct material used 3</v>
      </c>
      <c r="C176" s="727"/>
      <c r="D176" s="728"/>
      <c r="E176" s="729"/>
      <c r="F176" s="729"/>
      <c r="G176" s="729"/>
      <c r="H176" s="729"/>
      <c r="I176" s="729"/>
      <c r="J176" s="729"/>
      <c r="K176" s="729"/>
      <c r="L176" s="730"/>
      <c r="M176" s="2"/>
      <c r="O176" s="11" t="s">
        <v>213</v>
      </c>
      <c r="P176" s="2" t="s">
        <v>214</v>
      </c>
    </row>
    <row r="177" spans="1:16" x14ac:dyDescent="0.25">
      <c r="B177" s="159"/>
      <c r="C177" s="160"/>
      <c r="D177" s="25"/>
      <c r="E177" s="26"/>
      <c r="F177" s="26"/>
      <c r="G177" s="26"/>
      <c r="H177" s="26"/>
      <c r="I177" s="26"/>
      <c r="J177" s="26"/>
      <c r="K177" s="26"/>
      <c r="L177" s="27"/>
      <c r="M177" s="2"/>
      <c r="O177" s="11"/>
      <c r="P177" s="2"/>
    </row>
    <row r="178" spans="1:16" s="3" customFormat="1" x14ac:dyDescent="0.25">
      <c r="A178" s="12"/>
      <c r="B178" s="711" t="s">
        <v>34</v>
      </c>
      <c r="C178" s="712"/>
      <c r="D178" s="712"/>
      <c r="E178" s="712"/>
      <c r="F178" s="712"/>
      <c r="G178" s="712"/>
      <c r="H178" s="712"/>
      <c r="I178" s="712"/>
      <c r="J178" s="712"/>
      <c r="K178" s="712"/>
      <c r="L178" s="713"/>
      <c r="M178" s="168"/>
      <c r="O178" s="154"/>
      <c r="P178" s="154"/>
    </row>
    <row r="179" spans="1:16" s="152" customFormat="1" x14ac:dyDescent="0.25">
      <c r="A179" s="173"/>
      <c r="B179" s="185"/>
      <c r="C179" s="174"/>
      <c r="D179" s="174"/>
      <c r="E179" s="174"/>
      <c r="F179" s="174"/>
      <c r="G179" s="174"/>
      <c r="H179" s="174"/>
      <c r="I179" s="174"/>
      <c r="J179" s="174"/>
      <c r="K179" s="174"/>
      <c r="L179" s="175"/>
      <c r="O179" s="9"/>
      <c r="P179" s="9"/>
    </row>
    <row r="180" spans="1:16" s="152" customFormat="1" x14ac:dyDescent="0.25">
      <c r="A180" s="173"/>
      <c r="B180" s="708" t="str">
        <f>IF(Intro!$G$21="English",O180,P180)</f>
        <v>What publications or indices does your firm use to track the prices of direct materials used in the production of the goods?</v>
      </c>
      <c r="C180" s="709"/>
      <c r="D180" s="709"/>
      <c r="E180" s="709"/>
      <c r="F180" s="709"/>
      <c r="G180" s="709"/>
      <c r="H180" s="709"/>
      <c r="I180" s="709"/>
      <c r="J180" s="709"/>
      <c r="K180" s="709"/>
      <c r="L180" s="710"/>
      <c r="O180" s="9" t="s">
        <v>406</v>
      </c>
      <c r="P180" s="9" t="s">
        <v>407</v>
      </c>
    </row>
    <row r="181" spans="1:16" s="152" customFormat="1" x14ac:dyDescent="0.25">
      <c r="A181" s="173"/>
      <c r="B181" s="185"/>
      <c r="C181" s="174"/>
      <c r="D181" s="174"/>
      <c r="E181" s="174"/>
      <c r="F181" s="174"/>
      <c r="G181" s="174"/>
      <c r="H181" s="174"/>
      <c r="I181" s="174"/>
      <c r="J181" s="174"/>
      <c r="K181" s="174"/>
      <c r="L181" s="175"/>
      <c r="O181" s="9"/>
      <c r="P181" s="9"/>
    </row>
    <row r="182" spans="1:16" s="3" customFormat="1" x14ac:dyDescent="0.25">
      <c r="A182" s="12"/>
      <c r="B182" s="705"/>
      <c r="C182" s="706"/>
      <c r="D182" s="706"/>
      <c r="E182" s="706"/>
      <c r="F182" s="706"/>
      <c r="G182" s="706"/>
      <c r="H182" s="706"/>
      <c r="I182" s="706"/>
      <c r="J182" s="706"/>
      <c r="K182" s="706"/>
      <c r="L182" s="707"/>
      <c r="M182" s="152"/>
      <c r="O182" s="154"/>
      <c r="P182" s="154"/>
    </row>
    <row r="183" spans="1:16" s="3" customFormat="1" x14ac:dyDescent="0.25">
      <c r="A183" s="12"/>
      <c r="B183" s="705"/>
      <c r="C183" s="706"/>
      <c r="D183" s="706"/>
      <c r="E183" s="706"/>
      <c r="F183" s="706"/>
      <c r="G183" s="706"/>
      <c r="H183" s="706"/>
      <c r="I183" s="706"/>
      <c r="J183" s="706"/>
      <c r="K183" s="706"/>
      <c r="L183" s="707"/>
      <c r="M183" s="152"/>
      <c r="O183" s="154"/>
      <c r="P183" s="154"/>
    </row>
    <row r="184" spans="1:16" s="3" customFormat="1" x14ac:dyDescent="0.25">
      <c r="A184" s="12"/>
      <c r="B184" s="705"/>
      <c r="C184" s="706"/>
      <c r="D184" s="706"/>
      <c r="E184" s="706"/>
      <c r="F184" s="706"/>
      <c r="G184" s="706"/>
      <c r="H184" s="706"/>
      <c r="I184" s="706"/>
      <c r="J184" s="706"/>
      <c r="K184" s="706"/>
      <c r="L184" s="707"/>
      <c r="M184" s="152"/>
      <c r="O184" s="154"/>
      <c r="P184" s="154"/>
    </row>
    <row r="185" spans="1:16" s="3" customFormat="1" x14ac:dyDescent="0.25">
      <c r="A185" s="12"/>
      <c r="B185" s="705"/>
      <c r="C185" s="706"/>
      <c r="D185" s="706"/>
      <c r="E185" s="706"/>
      <c r="F185" s="706"/>
      <c r="G185" s="706"/>
      <c r="H185" s="706"/>
      <c r="I185" s="706"/>
      <c r="J185" s="706"/>
      <c r="K185" s="706"/>
      <c r="L185" s="707"/>
      <c r="M185" s="152"/>
      <c r="O185" s="154"/>
      <c r="P185" s="154"/>
    </row>
    <row r="186" spans="1:16" s="3" customFormat="1" x14ac:dyDescent="0.25">
      <c r="A186" s="12"/>
      <c r="B186" s="705"/>
      <c r="C186" s="706"/>
      <c r="D186" s="706"/>
      <c r="E186" s="706"/>
      <c r="F186" s="706"/>
      <c r="G186" s="706"/>
      <c r="H186" s="706"/>
      <c r="I186" s="706"/>
      <c r="J186" s="706"/>
      <c r="K186" s="706"/>
      <c r="L186" s="707"/>
      <c r="M186" s="152"/>
      <c r="O186" s="154"/>
      <c r="P186" s="154"/>
    </row>
    <row r="187" spans="1:16" s="3" customFormat="1" x14ac:dyDescent="0.25">
      <c r="A187" s="12"/>
      <c r="B187" s="705"/>
      <c r="C187" s="706"/>
      <c r="D187" s="706"/>
      <c r="E187" s="706"/>
      <c r="F187" s="706"/>
      <c r="G187" s="706"/>
      <c r="H187" s="706"/>
      <c r="I187" s="706"/>
      <c r="J187" s="706"/>
      <c r="K187" s="706"/>
      <c r="L187" s="707"/>
      <c r="M187" s="152"/>
      <c r="O187" s="154"/>
      <c r="P187" s="154"/>
    </row>
    <row r="188" spans="1:16" s="3" customFormat="1" x14ac:dyDescent="0.25">
      <c r="A188" s="12"/>
      <c r="B188" s="705"/>
      <c r="C188" s="706"/>
      <c r="D188" s="706"/>
      <c r="E188" s="706"/>
      <c r="F188" s="706"/>
      <c r="G188" s="706"/>
      <c r="H188" s="706"/>
      <c r="I188" s="706"/>
      <c r="J188" s="706"/>
      <c r="K188" s="706"/>
      <c r="L188" s="707"/>
      <c r="M188" s="152"/>
      <c r="O188" s="154"/>
      <c r="P188" s="154"/>
    </row>
    <row r="189" spans="1:16" s="3" customFormat="1" x14ac:dyDescent="0.25">
      <c r="A189" s="12"/>
      <c r="B189" s="705"/>
      <c r="C189" s="706"/>
      <c r="D189" s="706"/>
      <c r="E189" s="706"/>
      <c r="F189" s="706"/>
      <c r="G189" s="706"/>
      <c r="H189" s="706"/>
      <c r="I189" s="706"/>
      <c r="J189" s="706"/>
      <c r="K189" s="706"/>
      <c r="L189" s="707"/>
      <c r="M189" s="152"/>
      <c r="O189" s="154"/>
      <c r="P189" s="154"/>
    </row>
    <row r="190" spans="1:16" s="152" customFormat="1" x14ac:dyDescent="0.25">
      <c r="A190" s="173"/>
      <c r="B190" s="187"/>
      <c r="C190" s="188"/>
      <c r="D190" s="188"/>
      <c r="E190" s="188"/>
      <c r="F190" s="188"/>
      <c r="G190" s="188"/>
      <c r="H190" s="188"/>
      <c r="I190" s="188"/>
      <c r="J190" s="188"/>
      <c r="K190" s="188"/>
      <c r="L190" s="186"/>
      <c r="O190" s="9"/>
      <c r="P190" s="9"/>
    </row>
    <row r="191" spans="1:16" s="3" customFormat="1" x14ac:dyDescent="0.25">
      <c r="A191" s="12"/>
      <c r="B191" s="711" t="s">
        <v>35</v>
      </c>
      <c r="C191" s="712"/>
      <c r="D191" s="712"/>
      <c r="E191" s="712"/>
      <c r="F191" s="712"/>
      <c r="G191" s="712"/>
      <c r="H191" s="712"/>
      <c r="I191" s="712"/>
      <c r="J191" s="712"/>
      <c r="K191" s="712"/>
      <c r="L191" s="713"/>
      <c r="M191" s="168"/>
      <c r="O191" s="154"/>
      <c r="P191" s="154"/>
    </row>
    <row r="192" spans="1:16" s="152" customFormat="1" x14ac:dyDescent="0.25">
      <c r="A192" s="173"/>
      <c r="B192" s="185"/>
      <c r="C192" s="174"/>
      <c r="D192" s="174"/>
      <c r="E192" s="174"/>
      <c r="F192" s="174"/>
      <c r="G192" s="174"/>
      <c r="H192" s="174"/>
      <c r="I192" s="174"/>
      <c r="J192" s="174"/>
      <c r="K192" s="174"/>
      <c r="L192" s="175"/>
      <c r="O192" s="9"/>
      <c r="P192" s="9"/>
    </row>
    <row r="193" spans="1:16" s="152" customFormat="1" x14ac:dyDescent="0.25">
      <c r="A193" s="173"/>
      <c r="B193" s="708" t="str">
        <f>IF(Intro!$G$21="English",O193,P193)</f>
        <v>Provide details if your firm has changed the product mix of the goods produced since January 1, 2023.</v>
      </c>
      <c r="C193" s="709"/>
      <c r="D193" s="709"/>
      <c r="E193" s="709"/>
      <c r="F193" s="709"/>
      <c r="G193" s="709"/>
      <c r="H193" s="709"/>
      <c r="I193" s="709"/>
      <c r="J193" s="709"/>
      <c r="K193" s="709"/>
      <c r="L193" s="710"/>
      <c r="O193" s="9" t="str">
        <f>"Provide details if your firm has changed the product mix of the goods produced since January 1, "&amp;Variables!B6&amp;"."</f>
        <v>Provide details if your firm has changed the product mix of the goods produced since January 1, 2023.</v>
      </c>
      <c r="P193" s="9" t="str">
        <f>"Fournissez des détails si votre entreprise a modifié la gamme de marchandises qu'elle produit depuis le 1er janvier "&amp;Variables!B6&amp;"."</f>
        <v>Fournissez des détails si votre entreprise a modifié la gamme de marchandises qu'elle produit depuis le 1er janvier 2023.</v>
      </c>
    </row>
    <row r="194" spans="1:16" s="152" customFormat="1" x14ac:dyDescent="0.25">
      <c r="A194" s="173"/>
      <c r="B194" s="185"/>
      <c r="C194" s="174"/>
      <c r="D194" s="174"/>
      <c r="E194" s="174"/>
      <c r="F194" s="174"/>
      <c r="G194" s="174"/>
      <c r="H194" s="174"/>
      <c r="I194" s="174"/>
      <c r="J194" s="174"/>
      <c r="K194" s="174"/>
      <c r="L194" s="175"/>
      <c r="O194" s="9"/>
      <c r="P194" s="9"/>
    </row>
    <row r="195" spans="1:16" s="3" customFormat="1" x14ac:dyDescent="0.25">
      <c r="A195" s="12"/>
      <c r="B195" s="705"/>
      <c r="C195" s="706"/>
      <c r="D195" s="706"/>
      <c r="E195" s="706"/>
      <c r="F195" s="706"/>
      <c r="G195" s="706"/>
      <c r="H195" s="706"/>
      <c r="I195" s="706"/>
      <c r="J195" s="706"/>
      <c r="K195" s="706"/>
      <c r="L195" s="707"/>
      <c r="M195" s="152"/>
      <c r="O195" s="154"/>
      <c r="P195" s="154"/>
    </row>
    <row r="196" spans="1:16" s="3" customFormat="1" x14ac:dyDescent="0.25">
      <c r="A196" s="12"/>
      <c r="B196" s="705"/>
      <c r="C196" s="706"/>
      <c r="D196" s="706"/>
      <c r="E196" s="706"/>
      <c r="F196" s="706"/>
      <c r="G196" s="706"/>
      <c r="H196" s="706"/>
      <c r="I196" s="706"/>
      <c r="J196" s="706"/>
      <c r="K196" s="706"/>
      <c r="L196" s="707"/>
      <c r="M196" s="152"/>
      <c r="O196" s="154"/>
      <c r="P196" s="154"/>
    </row>
    <row r="197" spans="1:16" s="3" customFormat="1" x14ac:dyDescent="0.25">
      <c r="A197" s="12"/>
      <c r="B197" s="705"/>
      <c r="C197" s="706"/>
      <c r="D197" s="706"/>
      <c r="E197" s="706"/>
      <c r="F197" s="706"/>
      <c r="G197" s="706"/>
      <c r="H197" s="706"/>
      <c r="I197" s="706"/>
      <c r="J197" s="706"/>
      <c r="K197" s="706"/>
      <c r="L197" s="707"/>
      <c r="M197" s="152"/>
      <c r="O197" s="154"/>
      <c r="P197" s="154"/>
    </row>
    <row r="198" spans="1:16" s="3" customFormat="1" x14ac:dyDescent="0.25">
      <c r="A198" s="12"/>
      <c r="B198" s="705"/>
      <c r="C198" s="706"/>
      <c r="D198" s="706"/>
      <c r="E198" s="706"/>
      <c r="F198" s="706"/>
      <c r="G198" s="706"/>
      <c r="H198" s="706"/>
      <c r="I198" s="706"/>
      <c r="J198" s="706"/>
      <c r="K198" s="706"/>
      <c r="L198" s="707"/>
      <c r="M198" s="152"/>
      <c r="O198" s="154"/>
      <c r="P198" s="154"/>
    </row>
    <row r="199" spans="1:16" s="3" customFormat="1" x14ac:dyDescent="0.25">
      <c r="A199" s="12"/>
      <c r="B199" s="705"/>
      <c r="C199" s="706"/>
      <c r="D199" s="706"/>
      <c r="E199" s="706"/>
      <c r="F199" s="706"/>
      <c r="G199" s="706"/>
      <c r="H199" s="706"/>
      <c r="I199" s="706"/>
      <c r="J199" s="706"/>
      <c r="K199" s="706"/>
      <c r="L199" s="707"/>
      <c r="M199" s="152"/>
      <c r="O199" s="154"/>
      <c r="P199" s="154"/>
    </row>
    <row r="200" spans="1:16" s="3" customFormat="1" x14ac:dyDescent="0.25">
      <c r="A200" s="12"/>
      <c r="B200" s="705"/>
      <c r="C200" s="706"/>
      <c r="D200" s="706"/>
      <c r="E200" s="706"/>
      <c r="F200" s="706"/>
      <c r="G200" s="706"/>
      <c r="H200" s="706"/>
      <c r="I200" s="706"/>
      <c r="J200" s="706"/>
      <c r="K200" s="706"/>
      <c r="L200" s="707"/>
      <c r="M200" s="152"/>
      <c r="O200" s="154"/>
      <c r="P200" s="154"/>
    </row>
    <row r="201" spans="1:16" s="3" customFormat="1" x14ac:dyDescent="0.25">
      <c r="A201" s="12"/>
      <c r="B201" s="705"/>
      <c r="C201" s="706"/>
      <c r="D201" s="706"/>
      <c r="E201" s="706"/>
      <c r="F201" s="706"/>
      <c r="G201" s="706"/>
      <c r="H201" s="706"/>
      <c r="I201" s="706"/>
      <c r="J201" s="706"/>
      <c r="K201" s="706"/>
      <c r="L201" s="707"/>
      <c r="M201" s="152"/>
      <c r="O201" s="154"/>
      <c r="P201" s="154"/>
    </row>
    <row r="202" spans="1:16" s="3" customFormat="1" x14ac:dyDescent="0.25">
      <c r="A202" s="12"/>
      <c r="B202" s="705"/>
      <c r="C202" s="706"/>
      <c r="D202" s="706"/>
      <c r="E202" s="706"/>
      <c r="F202" s="706"/>
      <c r="G202" s="706"/>
      <c r="H202" s="706"/>
      <c r="I202" s="706"/>
      <c r="J202" s="706"/>
      <c r="K202" s="706"/>
      <c r="L202" s="707"/>
      <c r="M202" s="152"/>
      <c r="O202" s="154"/>
      <c r="P202" s="154"/>
    </row>
    <row r="203" spans="1:16" s="152" customFormat="1" x14ac:dyDescent="0.25">
      <c r="A203" s="173"/>
      <c r="B203" s="187"/>
      <c r="C203" s="188"/>
      <c r="D203" s="188"/>
      <c r="E203" s="188"/>
      <c r="F203" s="188"/>
      <c r="G203" s="188"/>
      <c r="H203" s="188"/>
      <c r="I203" s="188"/>
      <c r="J203" s="188"/>
      <c r="K203" s="188"/>
      <c r="L203" s="186"/>
      <c r="O203" s="9"/>
      <c r="P203" s="9"/>
    </row>
    <row r="204" spans="1:16" x14ac:dyDescent="0.25">
      <c r="B204" s="37"/>
      <c r="L204" s="38"/>
    </row>
    <row r="205" spans="1:16" x14ac:dyDescent="0.25">
      <c r="B205" s="618" t="str">
        <f>IF(Intro!$G$21="English",O205,P205)</f>
        <v>MARKET CHARACTERISTICS OF THE GOODS</v>
      </c>
      <c r="C205" s="619"/>
      <c r="D205" s="619"/>
      <c r="E205" s="619"/>
      <c r="F205" s="619"/>
      <c r="G205" s="619"/>
      <c r="H205" s="619"/>
      <c r="I205" s="619"/>
      <c r="J205" s="619"/>
      <c r="K205" s="619"/>
      <c r="L205" s="620"/>
      <c r="M205" s="152"/>
      <c r="O205" s="199" t="s">
        <v>643</v>
      </c>
      <c r="P205" s="199" t="s">
        <v>644</v>
      </c>
    </row>
    <row r="206" spans="1:16" s="3" customFormat="1" x14ac:dyDescent="0.25">
      <c r="A206" s="12"/>
      <c r="B206" s="711" t="s">
        <v>36</v>
      </c>
      <c r="C206" s="712"/>
      <c r="D206" s="712"/>
      <c r="E206" s="712"/>
      <c r="F206" s="712"/>
      <c r="G206" s="712"/>
      <c r="H206" s="712"/>
      <c r="I206" s="712"/>
      <c r="J206" s="712"/>
      <c r="K206" s="712"/>
      <c r="L206" s="713"/>
      <c r="M206" s="168"/>
      <c r="O206" s="154"/>
      <c r="P206" s="154"/>
    </row>
    <row r="207" spans="1:16" s="152" customFormat="1" x14ac:dyDescent="0.25">
      <c r="A207" s="173"/>
      <c r="B207" s="185"/>
      <c r="C207" s="174"/>
      <c r="D207" s="174"/>
      <c r="E207" s="174"/>
      <c r="F207" s="174"/>
      <c r="G207" s="174"/>
      <c r="H207" s="174"/>
      <c r="I207" s="174"/>
      <c r="J207" s="174"/>
      <c r="K207" s="174"/>
      <c r="L207" s="175"/>
      <c r="O207" s="9"/>
      <c r="P207" s="9"/>
    </row>
    <row r="208" spans="1:16" s="152" customFormat="1" x14ac:dyDescent="0.25">
      <c r="A208" s="173"/>
      <c r="B208" s="708" t="str">
        <f>IF(Intro!$G$21="English",O208,P208)</f>
        <v>Indicate the primary industries of your customers of the goods.</v>
      </c>
      <c r="C208" s="709"/>
      <c r="D208" s="709"/>
      <c r="E208" s="709"/>
      <c r="F208" s="709"/>
      <c r="G208" s="709"/>
      <c r="H208" s="709"/>
      <c r="I208" s="709"/>
      <c r="J208" s="709"/>
      <c r="K208" s="709"/>
      <c r="L208" s="710"/>
      <c r="O208" s="9" t="s">
        <v>350</v>
      </c>
      <c r="P208" s="9" t="s">
        <v>699</v>
      </c>
    </row>
    <row r="209" spans="1:16" s="152" customFormat="1" x14ac:dyDescent="0.25">
      <c r="A209" s="173"/>
      <c r="B209" s="185"/>
      <c r="C209" s="174"/>
      <c r="D209" s="174"/>
      <c r="E209" s="174"/>
      <c r="F209" s="174"/>
      <c r="G209" s="174"/>
      <c r="H209" s="174"/>
      <c r="I209" s="174"/>
      <c r="J209" s="174"/>
      <c r="K209" s="174"/>
      <c r="L209" s="175"/>
      <c r="O209" s="9"/>
      <c r="P209" s="9"/>
    </row>
    <row r="210" spans="1:16" x14ac:dyDescent="0.25">
      <c r="B210" s="590" t="str">
        <f>IF(Intro!$G$21="English",O210,P210)</f>
        <v xml:space="preserve">Primary Industry 1 </v>
      </c>
      <c r="C210" s="591"/>
      <c r="D210" s="591"/>
      <c r="E210" s="592"/>
      <c r="F210" s="592"/>
      <c r="G210" s="592"/>
      <c r="H210" s="592"/>
      <c r="I210" s="592"/>
      <c r="J210" s="592"/>
      <c r="K210" s="592"/>
      <c r="L210" s="593"/>
      <c r="M210" s="2"/>
      <c r="O210" s="9" t="s">
        <v>351</v>
      </c>
      <c r="P210" s="9" t="s">
        <v>352</v>
      </c>
    </row>
    <row r="211" spans="1:16" x14ac:dyDescent="0.25">
      <c r="B211" s="590"/>
      <c r="C211" s="591"/>
      <c r="D211" s="591"/>
      <c r="E211" s="592"/>
      <c r="F211" s="592"/>
      <c r="G211" s="592"/>
      <c r="H211" s="592"/>
      <c r="I211" s="592"/>
      <c r="J211" s="592"/>
      <c r="K211" s="592"/>
      <c r="L211" s="593"/>
      <c r="M211" s="2"/>
    </row>
    <row r="212" spans="1:16" x14ac:dyDescent="0.25">
      <c r="B212" s="590"/>
      <c r="C212" s="591"/>
      <c r="D212" s="591"/>
      <c r="E212" s="592"/>
      <c r="F212" s="592"/>
      <c r="G212" s="592"/>
      <c r="H212" s="592"/>
      <c r="I212" s="592"/>
      <c r="J212" s="592"/>
      <c r="K212" s="592"/>
      <c r="L212" s="593"/>
      <c r="M212" s="2"/>
    </row>
    <row r="213" spans="1:16" x14ac:dyDescent="0.25">
      <c r="B213" s="590"/>
      <c r="C213" s="591"/>
      <c r="D213" s="591"/>
      <c r="E213" s="592"/>
      <c r="F213" s="592"/>
      <c r="G213" s="592"/>
      <c r="H213" s="592"/>
      <c r="I213" s="592"/>
      <c r="J213" s="592"/>
      <c r="K213" s="592"/>
      <c r="L213" s="593"/>
      <c r="M213" s="2"/>
    </row>
    <row r="214" spans="1:16" x14ac:dyDescent="0.25">
      <c r="B214" s="590"/>
      <c r="C214" s="591"/>
      <c r="D214" s="591"/>
      <c r="E214" s="592"/>
      <c r="F214" s="592"/>
      <c r="G214" s="592"/>
      <c r="H214" s="592"/>
      <c r="I214" s="592"/>
      <c r="J214" s="592"/>
      <c r="K214" s="592"/>
      <c r="L214" s="593"/>
      <c r="M214" s="2"/>
    </row>
    <row r="215" spans="1:16" x14ac:dyDescent="0.25">
      <c r="B215" s="590" t="str">
        <f>IF(Intro!$G$21="English",O215,P215)</f>
        <v>Primary Industry 2</v>
      </c>
      <c r="C215" s="591"/>
      <c r="D215" s="591"/>
      <c r="E215" s="592"/>
      <c r="F215" s="592"/>
      <c r="G215" s="592"/>
      <c r="H215" s="592"/>
      <c r="I215" s="592"/>
      <c r="J215" s="592"/>
      <c r="K215" s="592"/>
      <c r="L215" s="593"/>
      <c r="M215" s="2"/>
      <c r="O215" s="9" t="s">
        <v>353</v>
      </c>
      <c r="P215" s="9" t="s">
        <v>354</v>
      </c>
    </row>
    <row r="216" spans="1:16" x14ac:dyDescent="0.25">
      <c r="B216" s="590"/>
      <c r="C216" s="591"/>
      <c r="D216" s="591"/>
      <c r="E216" s="592"/>
      <c r="F216" s="592"/>
      <c r="G216" s="592"/>
      <c r="H216" s="592"/>
      <c r="I216" s="592"/>
      <c r="J216" s="592"/>
      <c r="K216" s="592"/>
      <c r="L216" s="593"/>
      <c r="M216" s="2"/>
    </row>
    <row r="217" spans="1:16" x14ac:dyDescent="0.25">
      <c r="B217" s="590"/>
      <c r="C217" s="591"/>
      <c r="D217" s="591"/>
      <c r="E217" s="592"/>
      <c r="F217" s="592"/>
      <c r="G217" s="592"/>
      <c r="H217" s="592"/>
      <c r="I217" s="592"/>
      <c r="J217" s="592"/>
      <c r="K217" s="592"/>
      <c r="L217" s="593"/>
      <c r="M217" s="2"/>
    </row>
    <row r="218" spans="1:16" x14ac:dyDescent="0.25">
      <c r="B218" s="590"/>
      <c r="C218" s="591"/>
      <c r="D218" s="591"/>
      <c r="E218" s="592"/>
      <c r="F218" s="592"/>
      <c r="G218" s="592"/>
      <c r="H218" s="592"/>
      <c r="I218" s="592"/>
      <c r="J218" s="592"/>
      <c r="K218" s="592"/>
      <c r="L218" s="593"/>
      <c r="M218" s="2"/>
    </row>
    <row r="219" spans="1:16" x14ac:dyDescent="0.25">
      <c r="B219" s="590"/>
      <c r="C219" s="591"/>
      <c r="D219" s="591"/>
      <c r="E219" s="592"/>
      <c r="F219" s="592"/>
      <c r="G219" s="592"/>
      <c r="H219" s="592"/>
      <c r="I219" s="592"/>
      <c r="J219" s="592"/>
      <c r="K219" s="592"/>
      <c r="L219" s="593"/>
      <c r="M219" s="2"/>
      <c r="O219" s="2"/>
      <c r="P219" s="2"/>
    </row>
    <row r="220" spans="1:16" x14ac:dyDescent="0.25">
      <c r="B220" s="590" t="str">
        <f>IF(Intro!$G$21="English",O220,P220)</f>
        <v>Primary Industry 3</v>
      </c>
      <c r="C220" s="591"/>
      <c r="D220" s="591"/>
      <c r="E220" s="592"/>
      <c r="F220" s="592"/>
      <c r="G220" s="592"/>
      <c r="H220" s="592"/>
      <c r="I220" s="592"/>
      <c r="J220" s="592"/>
      <c r="K220" s="592"/>
      <c r="L220" s="593"/>
      <c r="M220" s="2"/>
      <c r="O220" s="9" t="s">
        <v>355</v>
      </c>
      <c r="P220" s="9" t="s">
        <v>356</v>
      </c>
    </row>
    <row r="221" spans="1:16" x14ac:dyDescent="0.25">
      <c r="B221" s="590"/>
      <c r="C221" s="591"/>
      <c r="D221" s="591"/>
      <c r="E221" s="592"/>
      <c r="F221" s="592"/>
      <c r="G221" s="592"/>
      <c r="H221" s="592"/>
      <c r="I221" s="592"/>
      <c r="J221" s="592"/>
      <c r="K221" s="592"/>
      <c r="L221" s="593"/>
      <c r="M221" s="2"/>
    </row>
    <row r="222" spans="1:16" x14ac:dyDescent="0.25">
      <c r="B222" s="590"/>
      <c r="C222" s="591"/>
      <c r="D222" s="591"/>
      <c r="E222" s="592"/>
      <c r="F222" s="592"/>
      <c r="G222" s="592"/>
      <c r="H222" s="592"/>
      <c r="I222" s="592"/>
      <c r="J222" s="592"/>
      <c r="K222" s="592"/>
      <c r="L222" s="593"/>
      <c r="M222" s="2"/>
    </row>
    <row r="223" spans="1:16" x14ac:dyDescent="0.25">
      <c r="B223" s="590"/>
      <c r="C223" s="591"/>
      <c r="D223" s="591"/>
      <c r="E223" s="592"/>
      <c r="F223" s="592"/>
      <c r="G223" s="592"/>
      <c r="H223" s="592"/>
      <c r="I223" s="592"/>
      <c r="J223" s="592"/>
      <c r="K223" s="592"/>
      <c r="L223" s="593"/>
      <c r="M223" s="2"/>
    </row>
    <row r="224" spans="1:16" x14ac:dyDescent="0.25">
      <c r="B224" s="590"/>
      <c r="C224" s="591"/>
      <c r="D224" s="591"/>
      <c r="E224" s="592"/>
      <c r="F224" s="592"/>
      <c r="G224" s="592"/>
      <c r="H224" s="592"/>
      <c r="I224" s="592"/>
      <c r="J224" s="592"/>
      <c r="K224" s="592"/>
      <c r="L224" s="593"/>
      <c r="M224" s="2"/>
    </row>
    <row r="225" spans="1:16" s="152" customFormat="1" x14ac:dyDescent="0.25">
      <c r="A225" s="173"/>
      <c r="B225" s="187"/>
      <c r="C225" s="188"/>
      <c r="D225" s="188"/>
      <c r="E225" s="188"/>
      <c r="F225" s="188"/>
      <c r="G225" s="188"/>
      <c r="H225" s="188"/>
      <c r="I225" s="188"/>
      <c r="J225" s="188"/>
      <c r="K225" s="188"/>
      <c r="L225" s="186"/>
      <c r="O225" s="9"/>
      <c r="P225" s="9"/>
    </row>
    <row r="226" spans="1:16" s="3" customFormat="1" x14ac:dyDescent="0.25">
      <c r="A226" s="12"/>
      <c r="B226" s="711" t="s">
        <v>37</v>
      </c>
      <c r="C226" s="712"/>
      <c r="D226" s="712"/>
      <c r="E226" s="712"/>
      <c r="F226" s="712"/>
      <c r="G226" s="712"/>
      <c r="H226" s="712"/>
      <c r="I226" s="712"/>
      <c r="J226" s="712"/>
      <c r="K226" s="712"/>
      <c r="L226" s="713"/>
      <c r="M226" s="168"/>
      <c r="O226" s="154"/>
      <c r="P226" s="154"/>
    </row>
    <row r="227" spans="1:16" s="152" customFormat="1" x14ac:dyDescent="0.25">
      <c r="A227" s="173"/>
      <c r="B227" s="185"/>
      <c r="C227" s="174"/>
      <c r="D227" s="174"/>
      <c r="E227" s="174"/>
      <c r="F227" s="174"/>
      <c r="G227" s="174"/>
      <c r="H227" s="174"/>
      <c r="I227" s="174"/>
      <c r="J227" s="174"/>
      <c r="K227" s="174"/>
      <c r="L227" s="175"/>
      <c r="O227" s="9"/>
      <c r="P227" s="9"/>
    </row>
    <row r="228" spans="1:16" s="152" customFormat="1" x14ac:dyDescent="0.25">
      <c r="A228" s="173"/>
      <c r="B228" s="612" t="str">
        <f>IF(Intro!$G$21="English",O228,P228)</f>
        <v>Describe whether there is seasonality in the Canadian market for the goods. Describe any seasonal patterns in your firm's production, inventory or sales of production in Canada.</v>
      </c>
      <c r="C228" s="613"/>
      <c r="D228" s="613"/>
      <c r="E228" s="613"/>
      <c r="F228" s="613"/>
      <c r="G228" s="613"/>
      <c r="H228" s="613"/>
      <c r="I228" s="613"/>
      <c r="J228" s="613"/>
      <c r="K228" s="613"/>
      <c r="L228" s="614"/>
      <c r="O228" s="9" t="s">
        <v>383</v>
      </c>
      <c r="P228" s="9" t="s">
        <v>384</v>
      </c>
    </row>
    <row r="229" spans="1:16" s="152" customFormat="1" x14ac:dyDescent="0.25">
      <c r="A229" s="173"/>
      <c r="B229" s="612"/>
      <c r="C229" s="613"/>
      <c r="D229" s="613"/>
      <c r="E229" s="613"/>
      <c r="F229" s="613"/>
      <c r="G229" s="613"/>
      <c r="H229" s="613"/>
      <c r="I229" s="613"/>
      <c r="J229" s="613"/>
      <c r="K229" s="613"/>
      <c r="L229" s="614"/>
      <c r="O229" s="9"/>
      <c r="P229" s="9"/>
    </row>
    <row r="230" spans="1:16" s="152" customFormat="1" x14ac:dyDescent="0.25">
      <c r="A230" s="173"/>
      <c r="B230" s="185"/>
      <c r="C230" s="174"/>
      <c r="D230" s="174"/>
      <c r="E230" s="174"/>
      <c r="F230" s="174"/>
      <c r="G230" s="174"/>
      <c r="H230" s="174"/>
      <c r="I230" s="174"/>
      <c r="J230" s="174"/>
      <c r="K230" s="174"/>
      <c r="L230" s="175"/>
      <c r="O230" s="9"/>
      <c r="P230" s="9"/>
    </row>
    <row r="231" spans="1:16" s="3" customFormat="1" x14ac:dyDescent="0.25">
      <c r="A231" s="12"/>
      <c r="B231" s="705"/>
      <c r="C231" s="706"/>
      <c r="D231" s="706"/>
      <c r="E231" s="706"/>
      <c r="F231" s="706"/>
      <c r="G231" s="706"/>
      <c r="H231" s="706"/>
      <c r="I231" s="706"/>
      <c r="J231" s="706"/>
      <c r="K231" s="706"/>
      <c r="L231" s="707"/>
      <c r="M231" s="152"/>
      <c r="O231" s="154"/>
      <c r="P231" s="154"/>
    </row>
    <row r="232" spans="1:16" s="3" customFormat="1" x14ac:dyDescent="0.25">
      <c r="A232" s="12"/>
      <c r="B232" s="705"/>
      <c r="C232" s="706"/>
      <c r="D232" s="706"/>
      <c r="E232" s="706"/>
      <c r="F232" s="706"/>
      <c r="G232" s="706"/>
      <c r="H232" s="706"/>
      <c r="I232" s="706"/>
      <c r="J232" s="706"/>
      <c r="K232" s="706"/>
      <c r="L232" s="707"/>
      <c r="M232" s="152"/>
      <c r="O232" s="154"/>
      <c r="P232" s="154"/>
    </row>
    <row r="233" spans="1:16" s="3" customFormat="1" x14ac:dyDescent="0.25">
      <c r="A233" s="12"/>
      <c r="B233" s="705"/>
      <c r="C233" s="706"/>
      <c r="D233" s="706"/>
      <c r="E233" s="706"/>
      <c r="F233" s="706"/>
      <c r="G233" s="706"/>
      <c r="H233" s="706"/>
      <c r="I233" s="706"/>
      <c r="J233" s="706"/>
      <c r="K233" s="706"/>
      <c r="L233" s="707"/>
      <c r="M233" s="152"/>
      <c r="O233" s="154"/>
      <c r="P233" s="154"/>
    </row>
    <row r="234" spans="1:16" s="3" customFormat="1" x14ac:dyDescent="0.25">
      <c r="A234" s="12"/>
      <c r="B234" s="705"/>
      <c r="C234" s="706"/>
      <c r="D234" s="706"/>
      <c r="E234" s="706"/>
      <c r="F234" s="706"/>
      <c r="G234" s="706"/>
      <c r="H234" s="706"/>
      <c r="I234" s="706"/>
      <c r="J234" s="706"/>
      <c r="K234" s="706"/>
      <c r="L234" s="707"/>
      <c r="M234" s="152"/>
      <c r="O234" s="154"/>
      <c r="P234" s="154"/>
    </row>
    <row r="235" spans="1:16" s="3" customFormat="1" x14ac:dyDescent="0.25">
      <c r="A235" s="12"/>
      <c r="B235" s="705"/>
      <c r="C235" s="706"/>
      <c r="D235" s="706"/>
      <c r="E235" s="706"/>
      <c r="F235" s="706"/>
      <c r="G235" s="706"/>
      <c r="H235" s="706"/>
      <c r="I235" s="706"/>
      <c r="J235" s="706"/>
      <c r="K235" s="706"/>
      <c r="L235" s="707"/>
      <c r="M235" s="152"/>
      <c r="O235" s="154"/>
      <c r="P235" s="154"/>
    </row>
    <row r="236" spans="1:16" s="3" customFormat="1" x14ac:dyDescent="0.25">
      <c r="A236" s="12"/>
      <c r="B236" s="705"/>
      <c r="C236" s="706"/>
      <c r="D236" s="706"/>
      <c r="E236" s="706"/>
      <c r="F236" s="706"/>
      <c r="G236" s="706"/>
      <c r="H236" s="706"/>
      <c r="I236" s="706"/>
      <c r="J236" s="706"/>
      <c r="K236" s="706"/>
      <c r="L236" s="707"/>
      <c r="M236" s="152"/>
      <c r="O236" s="154"/>
      <c r="P236" s="154"/>
    </row>
    <row r="237" spans="1:16" s="3" customFormat="1" x14ac:dyDescent="0.25">
      <c r="A237" s="12"/>
      <c r="B237" s="705"/>
      <c r="C237" s="706"/>
      <c r="D237" s="706"/>
      <c r="E237" s="706"/>
      <c r="F237" s="706"/>
      <c r="G237" s="706"/>
      <c r="H237" s="706"/>
      <c r="I237" s="706"/>
      <c r="J237" s="706"/>
      <c r="K237" s="706"/>
      <c r="L237" s="707"/>
      <c r="M237" s="152"/>
      <c r="O237" s="154"/>
      <c r="P237" s="154"/>
    </row>
    <row r="238" spans="1:16" s="3" customFormat="1" x14ac:dyDescent="0.25">
      <c r="A238" s="12"/>
      <c r="B238" s="705"/>
      <c r="C238" s="706"/>
      <c r="D238" s="706"/>
      <c r="E238" s="706"/>
      <c r="F238" s="706"/>
      <c r="G238" s="706"/>
      <c r="H238" s="706"/>
      <c r="I238" s="706"/>
      <c r="J238" s="706"/>
      <c r="K238" s="706"/>
      <c r="L238" s="707"/>
      <c r="M238" s="152"/>
      <c r="O238" s="154"/>
      <c r="P238" s="154"/>
    </row>
    <row r="239" spans="1:16" s="152" customFormat="1" x14ac:dyDescent="0.25">
      <c r="A239" s="173"/>
      <c r="B239" s="187"/>
      <c r="C239" s="188"/>
      <c r="D239" s="188"/>
      <c r="E239" s="188"/>
      <c r="F239" s="188"/>
      <c r="G239" s="188"/>
      <c r="H239" s="188"/>
      <c r="I239" s="188"/>
      <c r="J239" s="188"/>
      <c r="K239" s="188"/>
      <c r="L239" s="186"/>
      <c r="O239" s="9"/>
      <c r="P239" s="9"/>
    </row>
    <row r="240" spans="1:16" s="3" customFormat="1" x14ac:dyDescent="0.25">
      <c r="A240" s="12"/>
      <c r="B240" s="711" t="s">
        <v>38</v>
      </c>
      <c r="C240" s="712"/>
      <c r="D240" s="712"/>
      <c r="E240" s="712"/>
      <c r="F240" s="712"/>
      <c r="G240" s="712"/>
      <c r="H240" s="712"/>
      <c r="I240" s="712"/>
      <c r="J240" s="712"/>
      <c r="K240" s="712"/>
      <c r="L240" s="713"/>
      <c r="M240" s="168"/>
      <c r="O240" s="154"/>
      <c r="P240" s="154"/>
    </row>
    <row r="241" spans="1:16" s="152" customFormat="1" x14ac:dyDescent="0.25">
      <c r="A241" s="173"/>
      <c r="B241" s="185"/>
      <c r="C241" s="174"/>
      <c r="D241" s="174"/>
      <c r="E241" s="174"/>
      <c r="F241" s="174"/>
      <c r="G241" s="174"/>
      <c r="H241" s="174"/>
      <c r="I241" s="174"/>
      <c r="J241" s="174"/>
      <c r="K241" s="174"/>
      <c r="L241" s="175"/>
      <c r="O241" s="9"/>
      <c r="P241" s="9"/>
    </row>
    <row r="242" spans="1:16" s="152" customFormat="1" x14ac:dyDescent="0.25">
      <c r="A242" s="173"/>
      <c r="B242" s="612" t="str">
        <f>IF(Intro!$G$21="English",O242,P242)</f>
        <v>What have been the principal factors affecting the demand for the goods since January 1, 2023 (e.g., user preferences, government policy, economic conditions, exchange rate)?</v>
      </c>
      <c r="C242" s="613"/>
      <c r="D242" s="613"/>
      <c r="E242" s="613"/>
      <c r="F242" s="613"/>
      <c r="G242" s="613"/>
      <c r="H242" s="613"/>
      <c r="I242" s="613"/>
      <c r="J242" s="613"/>
      <c r="K242" s="613"/>
      <c r="L242" s="614"/>
      <c r="O242" s="9" t="str">
        <f>"What have been the principal factors affecting the demand for the goods since January 1, "&amp;Variables!B6&amp;" (e.g., user preferences, government policy, economic conditions, exchange rate)?"</f>
        <v>What have been the principal factors affecting the demand for the goods since January 1, 2023 (e.g., user preferences, government policy, economic conditions, exchange rate)?</v>
      </c>
      <c r="P242" s="9" t="str">
        <f>"Quels ont été les principaux facteurs affectant la demande des marchandises depuis le 1er janvier "&amp;Variables!B6&amp;" (par exemple, les préférences des utilisateurs, la politique gouvernementale, les conditions économiques, le taux de change)?"</f>
        <v>Quels ont été les principaux facteurs affectant la demande des marchandises depuis le 1er janvier 2023 (par exemple, les préférences des utilisateurs, la politique gouvernementale, les conditions économiques, le taux de change)?</v>
      </c>
    </row>
    <row r="243" spans="1:16" s="152" customFormat="1" x14ac:dyDescent="0.25">
      <c r="A243" s="173"/>
      <c r="B243" s="612"/>
      <c r="C243" s="613"/>
      <c r="D243" s="613"/>
      <c r="E243" s="613"/>
      <c r="F243" s="613"/>
      <c r="G243" s="613"/>
      <c r="H243" s="613"/>
      <c r="I243" s="613"/>
      <c r="J243" s="613"/>
      <c r="K243" s="613"/>
      <c r="L243" s="614"/>
      <c r="O243" s="9"/>
      <c r="P243" s="9"/>
    </row>
    <row r="244" spans="1:16" s="152" customFormat="1" x14ac:dyDescent="0.25">
      <c r="A244" s="173"/>
      <c r="B244" s="185"/>
      <c r="C244" s="174"/>
      <c r="D244" s="174"/>
      <c r="E244" s="174"/>
      <c r="F244" s="174"/>
      <c r="G244" s="174"/>
      <c r="H244" s="174"/>
      <c r="I244" s="174"/>
      <c r="J244" s="174"/>
      <c r="K244" s="174"/>
      <c r="L244" s="175"/>
      <c r="O244" s="9"/>
      <c r="P244" s="9"/>
    </row>
    <row r="245" spans="1:16" s="3" customFormat="1" x14ac:dyDescent="0.25">
      <c r="A245" s="12"/>
      <c r="B245" s="705"/>
      <c r="C245" s="706"/>
      <c r="D245" s="706"/>
      <c r="E245" s="706"/>
      <c r="F245" s="706"/>
      <c r="G245" s="706"/>
      <c r="H245" s="706"/>
      <c r="I245" s="706"/>
      <c r="J245" s="706"/>
      <c r="K245" s="706"/>
      <c r="L245" s="707"/>
      <c r="M245" s="152"/>
      <c r="O245" s="154"/>
      <c r="P245" s="154"/>
    </row>
    <row r="246" spans="1:16" s="3" customFormat="1" x14ac:dyDescent="0.25">
      <c r="A246" s="12"/>
      <c r="B246" s="705"/>
      <c r="C246" s="706"/>
      <c r="D246" s="706"/>
      <c r="E246" s="706"/>
      <c r="F246" s="706"/>
      <c r="G246" s="706"/>
      <c r="H246" s="706"/>
      <c r="I246" s="706"/>
      <c r="J246" s="706"/>
      <c r="K246" s="706"/>
      <c r="L246" s="707"/>
      <c r="M246" s="152"/>
      <c r="O246" s="154"/>
      <c r="P246" s="154"/>
    </row>
    <row r="247" spans="1:16" s="3" customFormat="1" x14ac:dyDescent="0.25">
      <c r="A247" s="12"/>
      <c r="B247" s="705"/>
      <c r="C247" s="706"/>
      <c r="D247" s="706"/>
      <c r="E247" s="706"/>
      <c r="F247" s="706"/>
      <c r="G247" s="706"/>
      <c r="H247" s="706"/>
      <c r="I247" s="706"/>
      <c r="J247" s="706"/>
      <c r="K247" s="706"/>
      <c r="L247" s="707"/>
      <c r="M247" s="152"/>
      <c r="O247" s="154"/>
      <c r="P247" s="154"/>
    </row>
    <row r="248" spans="1:16" s="3" customFormat="1" x14ac:dyDescent="0.25">
      <c r="A248" s="12"/>
      <c r="B248" s="705"/>
      <c r="C248" s="706"/>
      <c r="D248" s="706"/>
      <c r="E248" s="706"/>
      <c r="F248" s="706"/>
      <c r="G248" s="706"/>
      <c r="H248" s="706"/>
      <c r="I248" s="706"/>
      <c r="J248" s="706"/>
      <c r="K248" s="706"/>
      <c r="L248" s="707"/>
      <c r="M248" s="152"/>
      <c r="O248" s="154"/>
      <c r="P248" s="154"/>
    </row>
    <row r="249" spans="1:16" s="3" customFormat="1" x14ac:dyDescent="0.25">
      <c r="A249" s="12"/>
      <c r="B249" s="705"/>
      <c r="C249" s="706"/>
      <c r="D249" s="706"/>
      <c r="E249" s="706"/>
      <c r="F249" s="706"/>
      <c r="G249" s="706"/>
      <c r="H249" s="706"/>
      <c r="I249" s="706"/>
      <c r="J249" s="706"/>
      <c r="K249" s="706"/>
      <c r="L249" s="707"/>
      <c r="M249" s="152"/>
      <c r="O249" s="154"/>
      <c r="P249" s="154"/>
    </row>
    <row r="250" spans="1:16" s="3" customFormat="1" x14ac:dyDescent="0.25">
      <c r="A250" s="12"/>
      <c r="B250" s="705"/>
      <c r="C250" s="706"/>
      <c r="D250" s="706"/>
      <c r="E250" s="706"/>
      <c r="F250" s="706"/>
      <c r="G250" s="706"/>
      <c r="H250" s="706"/>
      <c r="I250" s="706"/>
      <c r="J250" s="706"/>
      <c r="K250" s="706"/>
      <c r="L250" s="707"/>
      <c r="M250" s="152"/>
      <c r="O250" s="154"/>
      <c r="P250" s="154"/>
    </row>
    <row r="251" spans="1:16" s="3" customFormat="1" x14ac:dyDescent="0.25">
      <c r="A251" s="12"/>
      <c r="B251" s="705"/>
      <c r="C251" s="706"/>
      <c r="D251" s="706"/>
      <c r="E251" s="706"/>
      <c r="F251" s="706"/>
      <c r="G251" s="706"/>
      <c r="H251" s="706"/>
      <c r="I251" s="706"/>
      <c r="J251" s="706"/>
      <c r="K251" s="706"/>
      <c r="L251" s="707"/>
      <c r="M251" s="152"/>
      <c r="O251" s="154"/>
      <c r="P251" s="154"/>
    </row>
    <row r="252" spans="1:16" s="3" customFormat="1" x14ac:dyDescent="0.25">
      <c r="A252" s="12"/>
      <c r="B252" s="705"/>
      <c r="C252" s="706"/>
      <c r="D252" s="706"/>
      <c r="E252" s="706"/>
      <c r="F252" s="706"/>
      <c r="G252" s="706"/>
      <c r="H252" s="706"/>
      <c r="I252" s="706"/>
      <c r="J252" s="706"/>
      <c r="K252" s="706"/>
      <c r="L252" s="707"/>
      <c r="M252" s="152"/>
      <c r="O252" s="154"/>
      <c r="P252" s="154"/>
    </row>
    <row r="253" spans="1:16" s="152" customFormat="1" x14ac:dyDescent="0.25">
      <c r="A253" s="173"/>
      <c r="B253" s="187"/>
      <c r="C253" s="188"/>
      <c r="D253" s="188"/>
      <c r="E253" s="188"/>
      <c r="F253" s="188"/>
      <c r="G253" s="188"/>
      <c r="H253" s="188"/>
      <c r="I253" s="188"/>
      <c r="J253" s="188"/>
      <c r="K253" s="188"/>
      <c r="L253" s="186"/>
      <c r="O253" s="9"/>
      <c r="P253" s="9"/>
    </row>
    <row r="254" spans="1:16" s="3" customFormat="1" x14ac:dyDescent="0.25">
      <c r="A254" s="12"/>
      <c r="B254" s="711" t="s">
        <v>39</v>
      </c>
      <c r="C254" s="712"/>
      <c r="D254" s="712"/>
      <c r="E254" s="712"/>
      <c r="F254" s="712"/>
      <c r="G254" s="712"/>
      <c r="H254" s="712"/>
      <c r="I254" s="712"/>
      <c r="J254" s="712"/>
      <c r="K254" s="712"/>
      <c r="L254" s="713"/>
      <c r="M254" s="168"/>
      <c r="O254" s="154"/>
      <c r="P254" s="154"/>
    </row>
    <row r="255" spans="1:16" s="152" customFormat="1" x14ac:dyDescent="0.25">
      <c r="A255" s="173"/>
      <c r="B255" s="185"/>
      <c r="C255" s="174"/>
      <c r="D255" s="174"/>
      <c r="E255" s="174"/>
      <c r="F255" s="174"/>
      <c r="G255" s="174"/>
      <c r="H255" s="174"/>
      <c r="I255" s="174"/>
      <c r="J255" s="174"/>
      <c r="K255" s="174"/>
      <c r="L255" s="175"/>
      <c r="O255" s="9"/>
      <c r="P255" s="9"/>
    </row>
    <row r="256" spans="1:16" s="152" customFormat="1" x14ac:dyDescent="0.25">
      <c r="A256" s="173"/>
      <c r="B256" s="708" t="str">
        <f>IF(Intro!$G$21="English",O256,P256)</f>
        <v>Describe any changes in technology that have impacted the Canadian market for the goods since January 1, 2023.</v>
      </c>
      <c r="C256" s="709"/>
      <c r="D256" s="709"/>
      <c r="E256" s="709"/>
      <c r="F256" s="709"/>
      <c r="G256" s="709"/>
      <c r="H256" s="709"/>
      <c r="I256" s="709"/>
      <c r="J256" s="709"/>
      <c r="K256" s="709"/>
      <c r="L256" s="710"/>
      <c r="O256" s="9" t="str">
        <f>"Describe any changes in technology that have impacted the Canadian market for the goods since January 1, "&amp;Variables!B6&amp;"."</f>
        <v>Describe any changes in technology that have impacted the Canadian market for the goods since January 1, 2023.</v>
      </c>
      <c r="P256" s="9"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row>
    <row r="257" spans="1:16" s="152" customFormat="1" x14ac:dyDescent="0.25">
      <c r="A257" s="173"/>
      <c r="B257" s="185"/>
      <c r="C257" s="174"/>
      <c r="D257" s="174"/>
      <c r="E257" s="174"/>
      <c r="F257" s="174"/>
      <c r="G257" s="174"/>
      <c r="H257" s="174"/>
      <c r="I257" s="174"/>
      <c r="J257" s="174"/>
      <c r="K257" s="174"/>
      <c r="L257" s="175"/>
      <c r="O257" s="9"/>
      <c r="P257" s="9"/>
    </row>
    <row r="258" spans="1:16" s="3" customFormat="1" x14ac:dyDescent="0.25">
      <c r="A258" s="12"/>
      <c r="B258" s="705"/>
      <c r="C258" s="706"/>
      <c r="D258" s="706"/>
      <c r="E258" s="706"/>
      <c r="F258" s="706"/>
      <c r="G258" s="706"/>
      <c r="H258" s="706"/>
      <c r="I258" s="706"/>
      <c r="J258" s="706"/>
      <c r="K258" s="706"/>
      <c r="L258" s="707"/>
      <c r="M258" s="152"/>
      <c r="O258" s="154"/>
      <c r="P258" s="154"/>
    </row>
    <row r="259" spans="1:16" s="3" customFormat="1" x14ac:dyDescent="0.25">
      <c r="A259" s="12"/>
      <c r="B259" s="705"/>
      <c r="C259" s="706"/>
      <c r="D259" s="706"/>
      <c r="E259" s="706"/>
      <c r="F259" s="706"/>
      <c r="G259" s="706"/>
      <c r="H259" s="706"/>
      <c r="I259" s="706"/>
      <c r="J259" s="706"/>
      <c r="K259" s="706"/>
      <c r="L259" s="707"/>
      <c r="M259" s="152"/>
      <c r="O259" s="154"/>
      <c r="P259" s="154"/>
    </row>
    <row r="260" spans="1:16" s="3" customFormat="1" x14ac:dyDescent="0.25">
      <c r="A260" s="12"/>
      <c r="B260" s="705"/>
      <c r="C260" s="706"/>
      <c r="D260" s="706"/>
      <c r="E260" s="706"/>
      <c r="F260" s="706"/>
      <c r="G260" s="706"/>
      <c r="H260" s="706"/>
      <c r="I260" s="706"/>
      <c r="J260" s="706"/>
      <c r="K260" s="706"/>
      <c r="L260" s="707"/>
      <c r="M260" s="152"/>
      <c r="O260" s="154"/>
      <c r="P260" s="154"/>
    </row>
    <row r="261" spans="1:16" s="3" customFormat="1" x14ac:dyDescent="0.25">
      <c r="A261" s="12"/>
      <c r="B261" s="705"/>
      <c r="C261" s="706"/>
      <c r="D261" s="706"/>
      <c r="E261" s="706"/>
      <c r="F261" s="706"/>
      <c r="G261" s="706"/>
      <c r="H261" s="706"/>
      <c r="I261" s="706"/>
      <c r="J261" s="706"/>
      <c r="K261" s="706"/>
      <c r="L261" s="707"/>
      <c r="M261" s="152"/>
      <c r="O261" s="154"/>
      <c r="P261" s="154"/>
    </row>
    <row r="262" spans="1:16" s="3" customFormat="1" x14ac:dyDescent="0.25">
      <c r="A262" s="12"/>
      <c r="B262" s="705"/>
      <c r="C262" s="706"/>
      <c r="D262" s="706"/>
      <c r="E262" s="706"/>
      <c r="F262" s="706"/>
      <c r="G262" s="706"/>
      <c r="H262" s="706"/>
      <c r="I262" s="706"/>
      <c r="J262" s="706"/>
      <c r="K262" s="706"/>
      <c r="L262" s="707"/>
      <c r="M262" s="152"/>
      <c r="O262" s="154"/>
      <c r="P262" s="154"/>
    </row>
    <row r="263" spans="1:16" s="3" customFormat="1" x14ac:dyDescent="0.25">
      <c r="A263" s="12"/>
      <c r="B263" s="705"/>
      <c r="C263" s="706"/>
      <c r="D263" s="706"/>
      <c r="E263" s="706"/>
      <c r="F263" s="706"/>
      <c r="G263" s="706"/>
      <c r="H263" s="706"/>
      <c r="I263" s="706"/>
      <c r="J263" s="706"/>
      <c r="K263" s="706"/>
      <c r="L263" s="707"/>
      <c r="M263" s="152"/>
      <c r="O263" s="154"/>
      <c r="P263" s="154"/>
    </row>
    <row r="264" spans="1:16" s="3" customFormat="1" x14ac:dyDescent="0.25">
      <c r="A264" s="12"/>
      <c r="B264" s="705"/>
      <c r="C264" s="706"/>
      <c r="D264" s="706"/>
      <c r="E264" s="706"/>
      <c r="F264" s="706"/>
      <c r="G264" s="706"/>
      <c r="H264" s="706"/>
      <c r="I264" s="706"/>
      <c r="J264" s="706"/>
      <c r="K264" s="706"/>
      <c r="L264" s="707"/>
      <c r="M264" s="152"/>
      <c r="O264" s="154"/>
      <c r="P264" s="154"/>
    </row>
    <row r="265" spans="1:16" s="3" customFormat="1" x14ac:dyDescent="0.25">
      <c r="A265" s="12"/>
      <c r="B265" s="705"/>
      <c r="C265" s="706"/>
      <c r="D265" s="706"/>
      <c r="E265" s="706"/>
      <c r="F265" s="706"/>
      <c r="G265" s="706"/>
      <c r="H265" s="706"/>
      <c r="I265" s="706"/>
      <c r="J265" s="706"/>
      <c r="K265" s="706"/>
      <c r="L265" s="707"/>
      <c r="M265" s="152"/>
      <c r="O265" s="154"/>
      <c r="P265" s="154"/>
    </row>
    <row r="266" spans="1:16" s="152" customFormat="1" x14ac:dyDescent="0.25">
      <c r="A266" s="173"/>
      <c r="B266" s="187"/>
      <c r="C266" s="188"/>
      <c r="D266" s="188"/>
      <c r="E266" s="188"/>
      <c r="F266" s="188"/>
      <c r="G266" s="188"/>
      <c r="H266" s="188"/>
      <c r="I266" s="188"/>
      <c r="J266" s="188"/>
      <c r="K266" s="188"/>
      <c r="L266" s="186"/>
      <c r="O266" s="9"/>
      <c r="P266" s="9"/>
    </row>
    <row r="267" spans="1:16" s="3" customFormat="1" x14ac:dyDescent="0.25">
      <c r="A267" s="12"/>
      <c r="B267" s="711" t="s">
        <v>294</v>
      </c>
      <c r="C267" s="712"/>
      <c r="D267" s="712"/>
      <c r="E267" s="712"/>
      <c r="F267" s="712"/>
      <c r="G267" s="712"/>
      <c r="H267" s="712"/>
      <c r="I267" s="712"/>
      <c r="J267" s="712"/>
      <c r="K267" s="712"/>
      <c r="L267" s="713"/>
      <c r="M267" s="168"/>
      <c r="O267" s="154"/>
      <c r="P267" s="154"/>
    </row>
    <row r="268" spans="1:16" s="152" customFormat="1" x14ac:dyDescent="0.25">
      <c r="A268" s="173"/>
      <c r="B268" s="185"/>
      <c r="C268" s="174"/>
      <c r="D268" s="174"/>
      <c r="E268" s="174"/>
      <c r="F268" s="174"/>
      <c r="G268" s="174"/>
      <c r="H268" s="174"/>
      <c r="I268" s="174"/>
      <c r="J268" s="174"/>
      <c r="K268" s="174"/>
      <c r="L268" s="175"/>
      <c r="O268" s="9"/>
      <c r="P268" s="9"/>
    </row>
    <row r="269" spans="1:16" s="152" customFormat="1" x14ac:dyDescent="0.25">
      <c r="A269" s="173"/>
      <c r="B269" s="634" t="str">
        <f>IF(Intro!$G$21="English",O269,P269)</f>
        <v>Explain circumstances where Canadian purchasers are willing to pay a price premium for the goods produced in Canada and what the amount of that premium would be.</v>
      </c>
      <c r="C269" s="635"/>
      <c r="D269" s="635"/>
      <c r="E269" s="635"/>
      <c r="F269" s="635"/>
      <c r="G269" s="635"/>
      <c r="H269" s="635"/>
      <c r="I269" s="635"/>
      <c r="J269" s="635"/>
      <c r="K269" s="635"/>
      <c r="L269" s="636"/>
      <c r="O269" s="9" t="s">
        <v>346</v>
      </c>
      <c r="P269" s="9" t="s">
        <v>409</v>
      </c>
    </row>
    <row r="270" spans="1:16" s="152" customFormat="1" x14ac:dyDescent="0.25">
      <c r="A270" s="173"/>
      <c r="B270" s="634"/>
      <c r="C270" s="635"/>
      <c r="D270" s="635"/>
      <c r="E270" s="635"/>
      <c r="F270" s="635"/>
      <c r="G270" s="635"/>
      <c r="H270" s="635"/>
      <c r="I270" s="635"/>
      <c r="J270" s="635"/>
      <c r="K270" s="635"/>
      <c r="L270" s="636"/>
      <c r="O270" s="9"/>
      <c r="P270" s="9"/>
    </row>
    <row r="271" spans="1:16" s="152" customFormat="1" x14ac:dyDescent="0.25">
      <c r="A271" s="173"/>
      <c r="B271" s="185"/>
      <c r="C271" s="174"/>
      <c r="D271" s="174"/>
      <c r="E271" s="174"/>
      <c r="F271" s="174"/>
      <c r="G271" s="174"/>
      <c r="H271" s="174"/>
      <c r="I271" s="174"/>
      <c r="J271" s="174"/>
      <c r="K271" s="174"/>
      <c r="L271" s="175"/>
      <c r="O271" s="9"/>
      <c r="P271" s="9"/>
    </row>
    <row r="272" spans="1:16" x14ac:dyDescent="0.25">
      <c r="B272" s="590" t="str">
        <f>IF(Intro!$G$21="English",O272,P272)</f>
        <v>Price Premium</v>
      </c>
      <c r="C272" s="591"/>
      <c r="D272" s="206" t="s">
        <v>188</v>
      </c>
      <c r="E272" s="207"/>
      <c r="F272" s="174"/>
      <c r="G272" s="174"/>
      <c r="H272" s="174"/>
      <c r="I272" s="174"/>
      <c r="J272" s="174"/>
      <c r="K272" s="174"/>
      <c r="L272" s="175"/>
      <c r="M272" s="2"/>
      <c r="O272" s="9" t="s">
        <v>292</v>
      </c>
      <c r="P272" s="9" t="s">
        <v>293</v>
      </c>
    </row>
    <row r="273" spans="1:16" s="152" customFormat="1" x14ac:dyDescent="0.25">
      <c r="A273" s="173"/>
      <c r="B273" s="185"/>
      <c r="C273" s="174"/>
      <c r="D273" s="174"/>
      <c r="E273" s="174"/>
      <c r="F273" s="174"/>
      <c r="G273" s="174"/>
      <c r="H273" s="174"/>
      <c r="I273" s="174"/>
      <c r="J273" s="174"/>
      <c r="K273" s="174"/>
      <c r="L273" s="175"/>
      <c r="O273" s="9"/>
      <c r="P273" s="9"/>
    </row>
    <row r="274" spans="1:16" s="3" customFormat="1" x14ac:dyDescent="0.25">
      <c r="A274" s="12"/>
      <c r="B274" s="705"/>
      <c r="C274" s="706"/>
      <c r="D274" s="706"/>
      <c r="E274" s="706"/>
      <c r="F274" s="706"/>
      <c r="G274" s="706"/>
      <c r="H274" s="706"/>
      <c r="I274" s="706"/>
      <c r="J274" s="706"/>
      <c r="K274" s="706"/>
      <c r="L274" s="707"/>
      <c r="M274" s="152"/>
      <c r="O274" s="154"/>
      <c r="P274" s="154"/>
    </row>
    <row r="275" spans="1:16" s="3" customFormat="1" x14ac:dyDescent="0.25">
      <c r="A275" s="12"/>
      <c r="B275" s="705"/>
      <c r="C275" s="706"/>
      <c r="D275" s="706"/>
      <c r="E275" s="706"/>
      <c r="F275" s="706"/>
      <c r="G275" s="706"/>
      <c r="H275" s="706"/>
      <c r="I275" s="706"/>
      <c r="J275" s="706"/>
      <c r="K275" s="706"/>
      <c r="L275" s="707"/>
      <c r="M275" s="152"/>
      <c r="O275" s="154"/>
      <c r="P275" s="154"/>
    </row>
    <row r="276" spans="1:16" s="3" customFormat="1" x14ac:dyDescent="0.25">
      <c r="A276" s="12"/>
      <c r="B276" s="705"/>
      <c r="C276" s="706"/>
      <c r="D276" s="706"/>
      <c r="E276" s="706"/>
      <c r="F276" s="706"/>
      <c r="G276" s="706"/>
      <c r="H276" s="706"/>
      <c r="I276" s="706"/>
      <c r="J276" s="706"/>
      <c r="K276" s="706"/>
      <c r="L276" s="707"/>
      <c r="M276" s="152"/>
      <c r="O276" s="154"/>
      <c r="P276" s="154"/>
    </row>
    <row r="277" spans="1:16" s="3" customFormat="1" x14ac:dyDescent="0.25">
      <c r="A277" s="12"/>
      <c r="B277" s="705"/>
      <c r="C277" s="706"/>
      <c r="D277" s="706"/>
      <c r="E277" s="706"/>
      <c r="F277" s="706"/>
      <c r="G277" s="706"/>
      <c r="H277" s="706"/>
      <c r="I277" s="706"/>
      <c r="J277" s="706"/>
      <c r="K277" s="706"/>
      <c r="L277" s="707"/>
      <c r="M277" s="152"/>
      <c r="O277" s="154"/>
      <c r="P277" s="154"/>
    </row>
    <row r="278" spans="1:16" s="3" customFormat="1" x14ac:dyDescent="0.25">
      <c r="A278" s="12"/>
      <c r="B278" s="705"/>
      <c r="C278" s="706"/>
      <c r="D278" s="706"/>
      <c r="E278" s="706"/>
      <c r="F278" s="706"/>
      <c r="G278" s="706"/>
      <c r="H278" s="706"/>
      <c r="I278" s="706"/>
      <c r="J278" s="706"/>
      <c r="K278" s="706"/>
      <c r="L278" s="707"/>
      <c r="M278" s="152"/>
      <c r="O278" s="154"/>
      <c r="P278" s="154"/>
    </row>
    <row r="279" spans="1:16" s="3" customFormat="1" x14ac:dyDescent="0.25">
      <c r="A279" s="12"/>
      <c r="B279" s="705"/>
      <c r="C279" s="706"/>
      <c r="D279" s="706"/>
      <c r="E279" s="706"/>
      <c r="F279" s="706"/>
      <c r="G279" s="706"/>
      <c r="H279" s="706"/>
      <c r="I279" s="706"/>
      <c r="J279" s="706"/>
      <c r="K279" s="706"/>
      <c r="L279" s="707"/>
      <c r="M279" s="152"/>
      <c r="O279" s="154"/>
      <c r="P279" s="154"/>
    </row>
    <row r="280" spans="1:16" s="3" customFormat="1" x14ac:dyDescent="0.25">
      <c r="A280" s="12"/>
      <c r="B280" s="705"/>
      <c r="C280" s="706"/>
      <c r="D280" s="706"/>
      <c r="E280" s="706"/>
      <c r="F280" s="706"/>
      <c r="G280" s="706"/>
      <c r="H280" s="706"/>
      <c r="I280" s="706"/>
      <c r="J280" s="706"/>
      <c r="K280" s="706"/>
      <c r="L280" s="707"/>
      <c r="M280" s="152"/>
      <c r="O280" s="154"/>
      <c r="P280" s="154"/>
    </row>
    <row r="281" spans="1:16" s="3" customFormat="1" x14ac:dyDescent="0.25">
      <c r="A281" s="12"/>
      <c r="B281" s="705"/>
      <c r="C281" s="706"/>
      <c r="D281" s="706"/>
      <c r="E281" s="706"/>
      <c r="F281" s="706"/>
      <c r="G281" s="706"/>
      <c r="H281" s="706"/>
      <c r="I281" s="706"/>
      <c r="J281" s="706"/>
      <c r="K281" s="706"/>
      <c r="L281" s="707"/>
      <c r="M281" s="152"/>
      <c r="O281" s="154"/>
      <c r="P281" s="154"/>
    </row>
    <row r="282" spans="1:16" s="152" customFormat="1" x14ac:dyDescent="0.25">
      <c r="A282" s="173"/>
      <c r="B282" s="187"/>
      <c r="C282" s="188"/>
      <c r="D282" s="188"/>
      <c r="E282" s="188"/>
      <c r="F282" s="188"/>
      <c r="G282" s="188"/>
      <c r="H282" s="188"/>
      <c r="I282" s="188"/>
      <c r="J282" s="188"/>
      <c r="K282" s="188"/>
      <c r="L282" s="186"/>
      <c r="O282" s="9"/>
      <c r="P282" s="9"/>
    </row>
    <row r="283" spans="1:16" s="3" customFormat="1" x14ac:dyDescent="0.25">
      <c r="A283" s="12"/>
      <c r="B283" s="711" t="s">
        <v>295</v>
      </c>
      <c r="C283" s="712"/>
      <c r="D283" s="712"/>
      <c r="E283" s="712"/>
      <c r="F283" s="712"/>
      <c r="G283" s="712"/>
      <c r="H283" s="712"/>
      <c r="I283" s="712"/>
      <c r="J283" s="712"/>
      <c r="K283" s="712"/>
      <c r="L283" s="713"/>
      <c r="M283" s="168"/>
      <c r="O283" s="154"/>
      <c r="P283" s="154"/>
    </row>
    <row r="284" spans="1:16" s="152" customFormat="1" x14ac:dyDescent="0.25">
      <c r="A284" s="173"/>
      <c r="B284" s="185"/>
      <c r="C284" s="174"/>
      <c r="D284" s="174"/>
      <c r="E284" s="174"/>
      <c r="F284" s="174"/>
      <c r="G284" s="174"/>
      <c r="H284" s="174"/>
      <c r="I284" s="174"/>
      <c r="J284" s="174"/>
      <c r="K284" s="174"/>
      <c r="L284" s="175"/>
      <c r="O284" s="9"/>
      <c r="P284" s="9"/>
    </row>
    <row r="285" spans="1:16" s="152" customFormat="1" x14ac:dyDescent="0.25">
      <c r="A285" s="173"/>
      <c r="B285" s="708" t="str">
        <f>IF(Intro!$G$21="English",O285,P285)</f>
        <v>To what extent are the goods produced in Canada interchangeable with the goods imported from China?</v>
      </c>
      <c r="C285" s="709"/>
      <c r="D285" s="709"/>
      <c r="E285" s="709"/>
      <c r="F285" s="709"/>
      <c r="G285" s="709"/>
      <c r="H285" s="709"/>
      <c r="I285" s="709"/>
      <c r="J285" s="709"/>
      <c r="K285" s="709"/>
      <c r="L285" s="710"/>
      <c r="O285" s="9" t="str">
        <f>"To what extent are the goods produced in Canada interchangeable with the goods imported from "&amp;Variables!B5&amp;"?"</f>
        <v>To what extent are the goods produced in Canada interchangeable with the goods imported from China?</v>
      </c>
      <c r="P285" s="9" t="str">
        <f>"Dans quelle mesure les marchandises produites au Canada sont-elles interchangeables avec les marchandises importées "&amp;Variables!C5&amp;"?"</f>
        <v>Dans quelle mesure les marchandises produites au Canada sont-elles interchangeables avec les marchandises importées de la Chine?</v>
      </c>
    </row>
    <row r="286" spans="1:16" s="152" customFormat="1" x14ac:dyDescent="0.25">
      <c r="A286" s="173"/>
      <c r="B286" s="185"/>
      <c r="C286" s="174"/>
      <c r="D286" s="174"/>
      <c r="E286" s="174"/>
      <c r="F286" s="174"/>
      <c r="G286" s="174"/>
      <c r="H286" s="174"/>
      <c r="I286" s="174"/>
      <c r="J286" s="174"/>
      <c r="K286" s="174"/>
      <c r="L286" s="175"/>
      <c r="O286" s="9"/>
      <c r="P286" s="9"/>
    </row>
    <row r="287" spans="1:16" s="3" customFormat="1" x14ac:dyDescent="0.25">
      <c r="A287" s="12"/>
      <c r="B287" s="705"/>
      <c r="C287" s="706"/>
      <c r="D287" s="706"/>
      <c r="E287" s="706"/>
      <c r="F287" s="706"/>
      <c r="G287" s="706"/>
      <c r="H287" s="706"/>
      <c r="I287" s="706"/>
      <c r="J287" s="706"/>
      <c r="K287" s="706"/>
      <c r="L287" s="707"/>
      <c r="M287" s="152"/>
      <c r="O287" s="154"/>
      <c r="P287" s="154"/>
    </row>
    <row r="288" spans="1:16" s="3" customFormat="1" x14ac:dyDescent="0.25">
      <c r="A288" s="12"/>
      <c r="B288" s="705"/>
      <c r="C288" s="706"/>
      <c r="D288" s="706"/>
      <c r="E288" s="706"/>
      <c r="F288" s="706"/>
      <c r="G288" s="706"/>
      <c r="H288" s="706"/>
      <c r="I288" s="706"/>
      <c r="J288" s="706"/>
      <c r="K288" s="706"/>
      <c r="L288" s="707"/>
      <c r="M288" s="152"/>
      <c r="O288" s="154"/>
      <c r="P288" s="154"/>
    </row>
    <row r="289" spans="1:16" s="3" customFormat="1" x14ac:dyDescent="0.25">
      <c r="A289" s="12"/>
      <c r="B289" s="705"/>
      <c r="C289" s="706"/>
      <c r="D289" s="706"/>
      <c r="E289" s="706"/>
      <c r="F289" s="706"/>
      <c r="G289" s="706"/>
      <c r="H289" s="706"/>
      <c r="I289" s="706"/>
      <c r="J289" s="706"/>
      <c r="K289" s="706"/>
      <c r="L289" s="707"/>
      <c r="M289" s="152"/>
      <c r="O289" s="154"/>
      <c r="P289" s="154"/>
    </row>
    <row r="290" spans="1:16" s="3" customFormat="1" x14ac:dyDescent="0.25">
      <c r="A290" s="12"/>
      <c r="B290" s="705"/>
      <c r="C290" s="706"/>
      <c r="D290" s="706"/>
      <c r="E290" s="706"/>
      <c r="F290" s="706"/>
      <c r="G290" s="706"/>
      <c r="H290" s="706"/>
      <c r="I290" s="706"/>
      <c r="J290" s="706"/>
      <c r="K290" s="706"/>
      <c r="L290" s="707"/>
      <c r="M290" s="152"/>
      <c r="O290" s="154"/>
      <c r="P290" s="154"/>
    </row>
    <row r="291" spans="1:16" s="3" customFormat="1" x14ac:dyDescent="0.25">
      <c r="A291" s="12"/>
      <c r="B291" s="705"/>
      <c r="C291" s="706"/>
      <c r="D291" s="706"/>
      <c r="E291" s="706"/>
      <c r="F291" s="706"/>
      <c r="G291" s="706"/>
      <c r="H291" s="706"/>
      <c r="I291" s="706"/>
      <c r="J291" s="706"/>
      <c r="K291" s="706"/>
      <c r="L291" s="707"/>
      <c r="M291" s="152"/>
      <c r="O291" s="154"/>
      <c r="P291" s="154"/>
    </row>
    <row r="292" spans="1:16" s="3" customFormat="1" x14ac:dyDescent="0.25">
      <c r="A292" s="12"/>
      <c r="B292" s="705"/>
      <c r="C292" s="706"/>
      <c r="D292" s="706"/>
      <c r="E292" s="706"/>
      <c r="F292" s="706"/>
      <c r="G292" s="706"/>
      <c r="H292" s="706"/>
      <c r="I292" s="706"/>
      <c r="J292" s="706"/>
      <c r="K292" s="706"/>
      <c r="L292" s="707"/>
      <c r="M292" s="152"/>
      <c r="O292" s="154"/>
      <c r="P292" s="154"/>
    </row>
    <row r="293" spans="1:16" s="3" customFormat="1" x14ac:dyDescent="0.25">
      <c r="A293" s="12"/>
      <c r="B293" s="705"/>
      <c r="C293" s="706"/>
      <c r="D293" s="706"/>
      <c r="E293" s="706"/>
      <c r="F293" s="706"/>
      <c r="G293" s="706"/>
      <c r="H293" s="706"/>
      <c r="I293" s="706"/>
      <c r="J293" s="706"/>
      <c r="K293" s="706"/>
      <c r="L293" s="707"/>
      <c r="M293" s="152"/>
      <c r="O293" s="154"/>
      <c r="P293" s="154"/>
    </row>
    <row r="294" spans="1:16" s="3" customFormat="1" x14ac:dyDescent="0.25">
      <c r="A294" s="12"/>
      <c r="B294" s="705"/>
      <c r="C294" s="706"/>
      <c r="D294" s="706"/>
      <c r="E294" s="706"/>
      <c r="F294" s="706"/>
      <c r="G294" s="706"/>
      <c r="H294" s="706"/>
      <c r="I294" s="706"/>
      <c r="J294" s="706"/>
      <c r="K294" s="706"/>
      <c r="L294" s="707"/>
      <c r="M294" s="152"/>
      <c r="O294" s="154"/>
      <c r="P294" s="154"/>
    </row>
    <row r="295" spans="1:16" s="152" customFormat="1" x14ac:dyDescent="0.25">
      <c r="A295" s="173"/>
      <c r="B295" s="187"/>
      <c r="C295" s="188"/>
      <c r="D295" s="188"/>
      <c r="E295" s="188"/>
      <c r="F295" s="188"/>
      <c r="G295" s="188"/>
      <c r="H295" s="188"/>
      <c r="I295" s="188"/>
      <c r="J295" s="188"/>
      <c r="K295" s="188"/>
      <c r="L295" s="186"/>
      <c r="O295" s="9"/>
      <c r="P295" s="9"/>
    </row>
    <row r="296" spans="1:16" s="3" customFormat="1" x14ac:dyDescent="0.25">
      <c r="A296" s="12"/>
      <c r="B296" s="711" t="s">
        <v>296</v>
      </c>
      <c r="C296" s="712"/>
      <c r="D296" s="712"/>
      <c r="E296" s="712"/>
      <c r="F296" s="712"/>
      <c r="G296" s="712"/>
      <c r="H296" s="712"/>
      <c r="I296" s="712"/>
      <c r="J296" s="712"/>
      <c r="K296" s="712"/>
      <c r="L296" s="713"/>
      <c r="M296" s="168"/>
      <c r="O296" s="154"/>
      <c r="P296" s="154"/>
    </row>
    <row r="297" spans="1:16" s="152" customFormat="1" x14ac:dyDescent="0.25">
      <c r="A297" s="173"/>
      <c r="B297" s="185"/>
      <c r="C297" s="174"/>
      <c r="D297" s="174"/>
      <c r="E297" s="174"/>
      <c r="F297" s="174"/>
      <c r="G297" s="174"/>
      <c r="H297" s="174"/>
      <c r="I297" s="174"/>
      <c r="J297" s="174"/>
      <c r="K297" s="174"/>
      <c r="L297" s="175"/>
      <c r="O297" s="9"/>
      <c r="P297" s="9"/>
    </row>
    <row r="298" spans="1:16" s="152" customFormat="1" x14ac:dyDescent="0.25">
      <c r="A298" s="173"/>
      <c r="B298" s="708" t="str">
        <f>IF(Intro!$G$21="English",O298,P298)</f>
        <v>To what extent are the goods produced in Canada comparable in price with the goods imported from China?</v>
      </c>
      <c r="C298" s="709"/>
      <c r="D298" s="709"/>
      <c r="E298" s="709"/>
      <c r="F298" s="709"/>
      <c r="G298" s="709"/>
      <c r="H298" s="709"/>
      <c r="I298" s="709"/>
      <c r="J298" s="709"/>
      <c r="K298" s="709"/>
      <c r="L298" s="710"/>
      <c r="O298" s="9" t="str">
        <f>"To what extent are the goods produced in Canada comparable in price with the goods imported from "&amp;Variables!B5&amp;"?"</f>
        <v>To what extent are the goods produced in Canada comparable in price with the goods imported from China?</v>
      </c>
      <c r="P298" s="9" t="str">
        <f>"Dans quelle mesure les marchandises produites au Canada sont-elles comparables en prix aux marchandises importées "&amp;Variables!C5&amp;"?"</f>
        <v>Dans quelle mesure les marchandises produites au Canada sont-elles comparables en prix aux marchandises importées de la Chine?</v>
      </c>
    </row>
    <row r="299" spans="1:16" s="152" customFormat="1" x14ac:dyDescent="0.25">
      <c r="A299" s="173"/>
      <c r="B299" s="185"/>
      <c r="C299" s="174"/>
      <c r="D299" s="174"/>
      <c r="E299" s="174"/>
      <c r="F299" s="174"/>
      <c r="G299" s="174"/>
      <c r="H299" s="174"/>
      <c r="I299" s="174"/>
      <c r="J299" s="174"/>
      <c r="K299" s="174"/>
      <c r="L299" s="175"/>
      <c r="O299" s="9"/>
      <c r="P299" s="9"/>
    </row>
    <row r="300" spans="1:16" s="3" customFormat="1" x14ac:dyDescent="0.25">
      <c r="A300" s="12"/>
      <c r="B300" s="705"/>
      <c r="C300" s="706"/>
      <c r="D300" s="706"/>
      <c r="E300" s="706"/>
      <c r="F300" s="706"/>
      <c r="G300" s="706"/>
      <c r="H300" s="706"/>
      <c r="I300" s="706"/>
      <c r="J300" s="706"/>
      <c r="K300" s="706"/>
      <c r="L300" s="707"/>
      <c r="M300" s="152"/>
      <c r="O300" s="154"/>
      <c r="P300" s="154"/>
    </row>
    <row r="301" spans="1:16" s="3" customFormat="1" x14ac:dyDescent="0.25">
      <c r="A301" s="12"/>
      <c r="B301" s="705"/>
      <c r="C301" s="706"/>
      <c r="D301" s="706"/>
      <c r="E301" s="706"/>
      <c r="F301" s="706"/>
      <c r="G301" s="706"/>
      <c r="H301" s="706"/>
      <c r="I301" s="706"/>
      <c r="J301" s="706"/>
      <c r="K301" s="706"/>
      <c r="L301" s="707"/>
      <c r="M301" s="152"/>
      <c r="O301" s="154"/>
      <c r="P301" s="154"/>
    </row>
    <row r="302" spans="1:16" s="3" customFormat="1" x14ac:dyDescent="0.25">
      <c r="A302" s="12"/>
      <c r="B302" s="705"/>
      <c r="C302" s="706"/>
      <c r="D302" s="706"/>
      <c r="E302" s="706"/>
      <c r="F302" s="706"/>
      <c r="G302" s="706"/>
      <c r="H302" s="706"/>
      <c r="I302" s="706"/>
      <c r="J302" s="706"/>
      <c r="K302" s="706"/>
      <c r="L302" s="707"/>
      <c r="M302" s="152"/>
      <c r="O302" s="154"/>
      <c r="P302" s="154"/>
    </row>
    <row r="303" spans="1:16" s="3" customFormat="1" x14ac:dyDescent="0.25">
      <c r="A303" s="12"/>
      <c r="B303" s="705"/>
      <c r="C303" s="706"/>
      <c r="D303" s="706"/>
      <c r="E303" s="706"/>
      <c r="F303" s="706"/>
      <c r="G303" s="706"/>
      <c r="H303" s="706"/>
      <c r="I303" s="706"/>
      <c r="J303" s="706"/>
      <c r="K303" s="706"/>
      <c r="L303" s="707"/>
      <c r="M303" s="152"/>
      <c r="O303" s="154"/>
      <c r="P303" s="154"/>
    </row>
    <row r="304" spans="1:16" s="3" customFormat="1" x14ac:dyDescent="0.25">
      <c r="A304" s="12"/>
      <c r="B304" s="705"/>
      <c r="C304" s="706"/>
      <c r="D304" s="706"/>
      <c r="E304" s="706"/>
      <c r="F304" s="706"/>
      <c r="G304" s="706"/>
      <c r="H304" s="706"/>
      <c r="I304" s="706"/>
      <c r="J304" s="706"/>
      <c r="K304" s="706"/>
      <c r="L304" s="707"/>
      <c r="M304" s="152"/>
      <c r="O304" s="154"/>
      <c r="P304" s="154"/>
    </row>
    <row r="305" spans="1:16" s="3" customFormat="1" x14ac:dyDescent="0.25">
      <c r="A305" s="12"/>
      <c r="B305" s="705"/>
      <c r="C305" s="706"/>
      <c r="D305" s="706"/>
      <c r="E305" s="706"/>
      <c r="F305" s="706"/>
      <c r="G305" s="706"/>
      <c r="H305" s="706"/>
      <c r="I305" s="706"/>
      <c r="J305" s="706"/>
      <c r="K305" s="706"/>
      <c r="L305" s="707"/>
      <c r="M305" s="152"/>
      <c r="O305" s="154"/>
      <c r="P305" s="154"/>
    </row>
    <row r="306" spans="1:16" s="3" customFormat="1" x14ac:dyDescent="0.25">
      <c r="A306" s="12"/>
      <c r="B306" s="705"/>
      <c r="C306" s="706"/>
      <c r="D306" s="706"/>
      <c r="E306" s="706"/>
      <c r="F306" s="706"/>
      <c r="G306" s="706"/>
      <c r="H306" s="706"/>
      <c r="I306" s="706"/>
      <c r="J306" s="706"/>
      <c r="K306" s="706"/>
      <c r="L306" s="707"/>
      <c r="M306" s="152"/>
      <c r="O306" s="154"/>
      <c r="P306" s="154"/>
    </row>
    <row r="307" spans="1:16" s="3" customFormat="1" x14ac:dyDescent="0.25">
      <c r="A307" s="12"/>
      <c r="B307" s="705"/>
      <c r="C307" s="706"/>
      <c r="D307" s="706"/>
      <c r="E307" s="706"/>
      <c r="F307" s="706"/>
      <c r="G307" s="706"/>
      <c r="H307" s="706"/>
      <c r="I307" s="706"/>
      <c r="J307" s="706"/>
      <c r="K307" s="706"/>
      <c r="L307" s="707"/>
      <c r="M307" s="152"/>
      <c r="O307" s="154"/>
      <c r="P307" s="154"/>
    </row>
    <row r="308" spans="1:16" s="152" customFormat="1" x14ac:dyDescent="0.25">
      <c r="A308" s="173"/>
      <c r="B308" s="187"/>
      <c r="C308" s="188"/>
      <c r="D308" s="188"/>
      <c r="E308" s="188"/>
      <c r="F308" s="188"/>
      <c r="G308" s="188"/>
      <c r="H308" s="188"/>
      <c r="I308" s="188"/>
      <c r="J308" s="188"/>
      <c r="K308" s="188"/>
      <c r="L308" s="186"/>
      <c r="O308" s="9"/>
      <c r="P308" s="9"/>
    </row>
    <row r="309" spans="1:16" s="3" customFormat="1" x14ac:dyDescent="0.25">
      <c r="A309" s="12"/>
      <c r="B309" s="711" t="s">
        <v>297</v>
      </c>
      <c r="C309" s="712"/>
      <c r="D309" s="712"/>
      <c r="E309" s="712"/>
      <c r="F309" s="712"/>
      <c r="G309" s="712"/>
      <c r="H309" s="712"/>
      <c r="I309" s="712"/>
      <c r="J309" s="712"/>
      <c r="K309" s="712"/>
      <c r="L309" s="713"/>
      <c r="M309" s="168"/>
      <c r="O309" s="154"/>
      <c r="P309" s="154"/>
    </row>
    <row r="310" spans="1:16" s="152" customFormat="1" x14ac:dyDescent="0.25">
      <c r="A310" s="173"/>
      <c r="B310" s="185"/>
      <c r="C310" s="174"/>
      <c r="D310" s="174"/>
      <c r="E310" s="174"/>
      <c r="F310" s="174"/>
      <c r="G310" s="174"/>
      <c r="H310" s="174"/>
      <c r="I310" s="174"/>
      <c r="J310" s="174"/>
      <c r="K310" s="174"/>
      <c r="L310" s="175"/>
      <c r="O310" s="9"/>
      <c r="P310" s="9"/>
    </row>
    <row r="311" spans="1:16" s="152" customFormat="1" x14ac:dyDescent="0.25">
      <c r="A311" s="173"/>
      <c r="B311" s="634" t="str">
        <f>IF(Intro!$G$21="English",O311,P311)</f>
        <v>To what extent are the goods produced in Canada comparable in non-price factors (including product quality, lead and delivery times, reliability of supply, thickness of face veneer, thickness of back veneer, etc.) with the goods imported from China?</v>
      </c>
      <c r="C311" s="635"/>
      <c r="D311" s="635"/>
      <c r="E311" s="635"/>
      <c r="F311" s="635"/>
      <c r="G311" s="635"/>
      <c r="H311" s="635"/>
      <c r="I311" s="635"/>
      <c r="J311" s="635"/>
      <c r="K311" s="635"/>
      <c r="L311" s="636"/>
      <c r="O311" s="9" t="str">
        <f>"To what extent are the goods produced in Canada comparable in non-price factors (including product quality, lead and delivery times, reliability of supply, thickness of face veneer, thickness of back veneer, etc.) with the goods imported from "&amp;Variables!B5&amp;"?"</f>
        <v>To what extent are the goods produced in Canada comparable in non-price factors (including product quality, lead and delivery times, reliability of supply, thickness of face veneer, thickness of back veneer, etc.) with the goods imported from China?</v>
      </c>
      <c r="P311" s="9" t="s">
        <v>1060</v>
      </c>
    </row>
    <row r="312" spans="1:16" s="152" customFormat="1" x14ac:dyDescent="0.25">
      <c r="A312" s="173"/>
      <c r="B312" s="634"/>
      <c r="C312" s="635"/>
      <c r="D312" s="635"/>
      <c r="E312" s="635"/>
      <c r="F312" s="635"/>
      <c r="G312" s="635"/>
      <c r="H312" s="635"/>
      <c r="I312" s="635"/>
      <c r="J312" s="635"/>
      <c r="K312" s="635"/>
      <c r="L312" s="636"/>
      <c r="O312" s="9"/>
      <c r="P312" s="9"/>
    </row>
    <row r="313" spans="1:16" s="152" customFormat="1" x14ac:dyDescent="0.25">
      <c r="A313" s="173"/>
      <c r="B313" s="185"/>
      <c r="C313" s="174"/>
      <c r="D313" s="174"/>
      <c r="E313" s="174"/>
      <c r="F313" s="174"/>
      <c r="G313" s="174"/>
      <c r="H313" s="174"/>
      <c r="I313" s="174"/>
      <c r="J313" s="174"/>
      <c r="K313" s="174"/>
      <c r="L313" s="175"/>
      <c r="O313" s="9"/>
      <c r="P313" s="9"/>
    </row>
    <row r="314" spans="1:16" s="3" customFormat="1" x14ac:dyDescent="0.25">
      <c r="A314" s="12"/>
      <c r="B314" s="705"/>
      <c r="C314" s="706"/>
      <c r="D314" s="706"/>
      <c r="E314" s="706"/>
      <c r="F314" s="706"/>
      <c r="G314" s="706"/>
      <c r="H314" s="706"/>
      <c r="I314" s="706"/>
      <c r="J314" s="706"/>
      <c r="K314" s="706"/>
      <c r="L314" s="707"/>
      <c r="M314" s="152"/>
      <c r="O314" s="154"/>
      <c r="P314" s="154"/>
    </row>
    <row r="315" spans="1:16" s="3" customFormat="1" x14ac:dyDescent="0.25">
      <c r="A315" s="12"/>
      <c r="B315" s="705"/>
      <c r="C315" s="706"/>
      <c r="D315" s="706"/>
      <c r="E315" s="706"/>
      <c r="F315" s="706"/>
      <c r="G315" s="706"/>
      <c r="H315" s="706"/>
      <c r="I315" s="706"/>
      <c r="J315" s="706"/>
      <c r="K315" s="706"/>
      <c r="L315" s="707"/>
      <c r="M315" s="152"/>
      <c r="O315" s="154"/>
      <c r="P315" s="154"/>
    </row>
    <row r="316" spans="1:16" s="3" customFormat="1" x14ac:dyDescent="0.25">
      <c r="A316" s="12"/>
      <c r="B316" s="705"/>
      <c r="C316" s="706"/>
      <c r="D316" s="706"/>
      <c r="E316" s="706"/>
      <c r="F316" s="706"/>
      <c r="G316" s="706"/>
      <c r="H316" s="706"/>
      <c r="I316" s="706"/>
      <c r="J316" s="706"/>
      <c r="K316" s="706"/>
      <c r="L316" s="707"/>
      <c r="M316" s="152"/>
      <c r="O316" s="154"/>
      <c r="P316" s="154"/>
    </row>
    <row r="317" spans="1:16" s="3" customFormat="1" x14ac:dyDescent="0.25">
      <c r="A317" s="12"/>
      <c r="B317" s="705"/>
      <c r="C317" s="706"/>
      <c r="D317" s="706"/>
      <c r="E317" s="706"/>
      <c r="F317" s="706"/>
      <c r="G317" s="706"/>
      <c r="H317" s="706"/>
      <c r="I317" s="706"/>
      <c r="J317" s="706"/>
      <c r="K317" s="706"/>
      <c r="L317" s="707"/>
      <c r="M317" s="152"/>
      <c r="O317" s="154"/>
      <c r="P317" s="154"/>
    </row>
    <row r="318" spans="1:16" s="3" customFormat="1" x14ac:dyDescent="0.25">
      <c r="A318" s="12"/>
      <c r="B318" s="705"/>
      <c r="C318" s="706"/>
      <c r="D318" s="706"/>
      <c r="E318" s="706"/>
      <c r="F318" s="706"/>
      <c r="G318" s="706"/>
      <c r="H318" s="706"/>
      <c r="I318" s="706"/>
      <c r="J318" s="706"/>
      <c r="K318" s="706"/>
      <c r="L318" s="707"/>
      <c r="M318" s="152"/>
      <c r="O318" s="154"/>
      <c r="P318" s="154"/>
    </row>
    <row r="319" spans="1:16" s="3" customFormat="1" x14ac:dyDescent="0.25">
      <c r="A319" s="12"/>
      <c r="B319" s="705"/>
      <c r="C319" s="706"/>
      <c r="D319" s="706"/>
      <c r="E319" s="706"/>
      <c r="F319" s="706"/>
      <c r="G319" s="706"/>
      <c r="H319" s="706"/>
      <c r="I319" s="706"/>
      <c r="J319" s="706"/>
      <c r="K319" s="706"/>
      <c r="L319" s="707"/>
      <c r="M319" s="152"/>
      <c r="O319" s="154"/>
      <c r="P319" s="154"/>
    </row>
    <row r="320" spans="1:16" s="3" customFormat="1" x14ac:dyDescent="0.25">
      <c r="A320" s="12"/>
      <c r="B320" s="705"/>
      <c r="C320" s="706"/>
      <c r="D320" s="706"/>
      <c r="E320" s="706"/>
      <c r="F320" s="706"/>
      <c r="G320" s="706"/>
      <c r="H320" s="706"/>
      <c r="I320" s="706"/>
      <c r="J320" s="706"/>
      <c r="K320" s="706"/>
      <c r="L320" s="707"/>
      <c r="M320" s="152"/>
      <c r="O320" s="154"/>
      <c r="P320" s="154"/>
    </row>
    <row r="321" spans="1:16" s="3" customFormat="1" x14ac:dyDescent="0.25">
      <c r="A321" s="12"/>
      <c r="B321" s="705"/>
      <c r="C321" s="706"/>
      <c r="D321" s="706"/>
      <c r="E321" s="706"/>
      <c r="F321" s="706"/>
      <c r="G321" s="706"/>
      <c r="H321" s="706"/>
      <c r="I321" s="706"/>
      <c r="J321" s="706"/>
      <c r="K321" s="706"/>
      <c r="L321" s="707"/>
      <c r="M321" s="152"/>
      <c r="O321" s="154"/>
      <c r="P321" s="154"/>
    </row>
    <row r="322" spans="1:16" s="152" customFormat="1" x14ac:dyDescent="0.25">
      <c r="A322" s="173"/>
      <c r="B322" s="187"/>
      <c r="C322" s="188"/>
      <c r="D322" s="188"/>
      <c r="E322" s="188"/>
      <c r="F322" s="188"/>
      <c r="G322" s="188"/>
      <c r="H322" s="188"/>
      <c r="I322" s="188"/>
      <c r="J322" s="188"/>
      <c r="K322" s="188"/>
      <c r="L322" s="186"/>
      <c r="O322" s="9"/>
      <c r="P322" s="9"/>
    </row>
    <row r="324" spans="1:16" x14ac:dyDescent="0.25">
      <c r="B324" s="618" t="str">
        <f>IF(Intro!$G$21="English",O324,P324)</f>
        <v>SALES</v>
      </c>
      <c r="C324" s="619"/>
      <c r="D324" s="619"/>
      <c r="E324" s="619"/>
      <c r="F324" s="619"/>
      <c r="G324" s="619"/>
      <c r="H324" s="619"/>
      <c r="I324" s="619"/>
      <c r="J324" s="619"/>
      <c r="K324" s="619"/>
      <c r="L324" s="620"/>
      <c r="M324" s="152"/>
      <c r="O324" s="9" t="s">
        <v>645</v>
      </c>
      <c r="P324" s="9" t="s">
        <v>646</v>
      </c>
    </row>
    <row r="325" spans="1:16" s="3" customFormat="1" x14ac:dyDescent="0.25">
      <c r="A325" s="12"/>
      <c r="B325" s="711" t="s">
        <v>310</v>
      </c>
      <c r="C325" s="712"/>
      <c r="D325" s="712"/>
      <c r="E325" s="712"/>
      <c r="F325" s="712"/>
      <c r="G325" s="712"/>
      <c r="H325" s="712"/>
      <c r="I325" s="712"/>
      <c r="J325" s="712"/>
      <c r="K325" s="712"/>
      <c r="L325" s="713"/>
      <c r="M325" s="168"/>
      <c r="O325" s="154"/>
      <c r="P325" s="154"/>
    </row>
    <row r="326" spans="1:16" s="152" customFormat="1" x14ac:dyDescent="0.25">
      <c r="A326" s="173"/>
      <c r="B326" s="185"/>
      <c r="C326" s="174"/>
      <c r="D326" s="174"/>
      <c r="E326" s="174"/>
      <c r="F326" s="174"/>
      <c r="G326" s="174"/>
      <c r="H326" s="174"/>
      <c r="I326" s="174"/>
      <c r="J326" s="174"/>
      <c r="K326" s="174"/>
      <c r="L326" s="175"/>
      <c r="O326" s="9"/>
      <c r="P326" s="9"/>
    </row>
    <row r="327" spans="1:16" s="152" customFormat="1" x14ac:dyDescent="0.25">
      <c r="A327" s="173"/>
      <c r="B327" s="708" t="str">
        <f>IF(Intro!$G$21="English",O327,P327)</f>
        <v>Describe any changes in your firm's channels of distribution since January 1, 2023.</v>
      </c>
      <c r="C327" s="709"/>
      <c r="D327" s="709"/>
      <c r="E327" s="709"/>
      <c r="F327" s="709"/>
      <c r="G327" s="709"/>
      <c r="H327" s="709"/>
      <c r="I327" s="709"/>
      <c r="J327" s="709"/>
      <c r="K327" s="709"/>
      <c r="L327" s="710"/>
      <c r="O327" s="9" t="str">
        <f>"Describe any changes in your firm's channels of distribution since January 1, "&amp;Variables!B6&amp;"."</f>
        <v>Describe any changes in your firm's channels of distribution since January 1, 2023.</v>
      </c>
      <c r="P327" s="9" t="str">
        <f>"Décrivez tout changement dans les canaux de distribution de votre entreprise depuis le 1er janvier "&amp;Variables!B6&amp;"."</f>
        <v>Décrivez tout changement dans les canaux de distribution de votre entreprise depuis le 1er janvier 2023.</v>
      </c>
    </row>
    <row r="328" spans="1:16" s="152" customFormat="1" x14ac:dyDescent="0.25">
      <c r="A328" s="173"/>
      <c r="B328" s="185"/>
      <c r="C328" s="174"/>
      <c r="D328" s="174"/>
      <c r="E328" s="174"/>
      <c r="F328" s="174"/>
      <c r="G328" s="174"/>
      <c r="H328" s="174"/>
      <c r="I328" s="174"/>
      <c r="J328" s="174"/>
      <c r="K328" s="174"/>
      <c r="L328" s="175"/>
      <c r="O328" s="9"/>
      <c r="P328" s="9"/>
    </row>
    <row r="329" spans="1:16" s="3" customFormat="1" x14ac:dyDescent="0.25">
      <c r="A329" s="12"/>
      <c r="B329" s="705"/>
      <c r="C329" s="706"/>
      <c r="D329" s="706"/>
      <c r="E329" s="706"/>
      <c r="F329" s="706"/>
      <c r="G329" s="706"/>
      <c r="H329" s="706"/>
      <c r="I329" s="706"/>
      <c r="J329" s="706"/>
      <c r="K329" s="706"/>
      <c r="L329" s="707"/>
      <c r="M329" s="152"/>
      <c r="O329" s="154"/>
      <c r="P329" s="154"/>
    </row>
    <row r="330" spans="1:16" s="3" customFormat="1" x14ac:dyDescent="0.25">
      <c r="A330" s="12"/>
      <c r="B330" s="705"/>
      <c r="C330" s="706"/>
      <c r="D330" s="706"/>
      <c r="E330" s="706"/>
      <c r="F330" s="706"/>
      <c r="G330" s="706"/>
      <c r="H330" s="706"/>
      <c r="I330" s="706"/>
      <c r="J330" s="706"/>
      <c r="K330" s="706"/>
      <c r="L330" s="707"/>
      <c r="M330" s="152"/>
      <c r="O330" s="154"/>
      <c r="P330" s="154"/>
    </row>
    <row r="331" spans="1:16" s="3" customFormat="1" x14ac:dyDescent="0.25">
      <c r="A331" s="12"/>
      <c r="B331" s="705"/>
      <c r="C331" s="706"/>
      <c r="D331" s="706"/>
      <c r="E331" s="706"/>
      <c r="F331" s="706"/>
      <c r="G331" s="706"/>
      <c r="H331" s="706"/>
      <c r="I331" s="706"/>
      <c r="J331" s="706"/>
      <c r="K331" s="706"/>
      <c r="L331" s="707"/>
      <c r="M331" s="152"/>
      <c r="O331" s="154"/>
      <c r="P331" s="154"/>
    </row>
    <row r="332" spans="1:16" s="3" customFormat="1" x14ac:dyDescent="0.25">
      <c r="A332" s="12"/>
      <c r="B332" s="705"/>
      <c r="C332" s="706"/>
      <c r="D332" s="706"/>
      <c r="E332" s="706"/>
      <c r="F332" s="706"/>
      <c r="G332" s="706"/>
      <c r="H332" s="706"/>
      <c r="I332" s="706"/>
      <c r="J332" s="706"/>
      <c r="K332" s="706"/>
      <c r="L332" s="707"/>
      <c r="M332" s="152"/>
      <c r="O332" s="154"/>
      <c r="P332" s="154"/>
    </row>
    <row r="333" spans="1:16" s="3" customFormat="1" x14ac:dyDescent="0.25">
      <c r="A333" s="12"/>
      <c r="B333" s="705"/>
      <c r="C333" s="706"/>
      <c r="D333" s="706"/>
      <c r="E333" s="706"/>
      <c r="F333" s="706"/>
      <c r="G333" s="706"/>
      <c r="H333" s="706"/>
      <c r="I333" s="706"/>
      <c r="J333" s="706"/>
      <c r="K333" s="706"/>
      <c r="L333" s="707"/>
      <c r="M333" s="152"/>
      <c r="O333" s="154"/>
      <c r="P333" s="154"/>
    </row>
    <row r="334" spans="1:16" s="3" customFormat="1" x14ac:dyDescent="0.25">
      <c r="A334" s="12"/>
      <c r="B334" s="705"/>
      <c r="C334" s="706"/>
      <c r="D334" s="706"/>
      <c r="E334" s="706"/>
      <c r="F334" s="706"/>
      <c r="G334" s="706"/>
      <c r="H334" s="706"/>
      <c r="I334" s="706"/>
      <c r="J334" s="706"/>
      <c r="K334" s="706"/>
      <c r="L334" s="707"/>
      <c r="M334" s="152"/>
      <c r="O334" s="154"/>
      <c r="P334" s="154"/>
    </row>
    <row r="335" spans="1:16" s="3" customFormat="1" x14ac:dyDescent="0.25">
      <c r="A335" s="12"/>
      <c r="B335" s="705"/>
      <c r="C335" s="706"/>
      <c r="D335" s="706"/>
      <c r="E335" s="706"/>
      <c r="F335" s="706"/>
      <c r="G335" s="706"/>
      <c r="H335" s="706"/>
      <c r="I335" s="706"/>
      <c r="J335" s="706"/>
      <c r="K335" s="706"/>
      <c r="L335" s="707"/>
      <c r="M335" s="152"/>
      <c r="O335" s="154"/>
      <c r="P335" s="154"/>
    </row>
    <row r="336" spans="1:16" s="3" customFormat="1" x14ac:dyDescent="0.25">
      <c r="A336" s="12"/>
      <c r="B336" s="705"/>
      <c r="C336" s="706"/>
      <c r="D336" s="706"/>
      <c r="E336" s="706"/>
      <c r="F336" s="706"/>
      <c r="G336" s="706"/>
      <c r="H336" s="706"/>
      <c r="I336" s="706"/>
      <c r="J336" s="706"/>
      <c r="K336" s="706"/>
      <c r="L336" s="707"/>
      <c r="M336" s="152"/>
      <c r="O336" s="154"/>
      <c r="P336" s="154"/>
    </row>
    <row r="337" spans="1:16" s="152" customFormat="1" x14ac:dyDescent="0.25">
      <c r="A337" s="173"/>
      <c r="B337" s="187"/>
      <c r="C337" s="188"/>
      <c r="D337" s="188"/>
      <c r="E337" s="188"/>
      <c r="F337" s="188"/>
      <c r="G337" s="188"/>
      <c r="H337" s="188"/>
      <c r="I337" s="188"/>
      <c r="J337" s="188"/>
      <c r="K337" s="188"/>
      <c r="L337" s="186"/>
      <c r="O337" s="9"/>
      <c r="P337" s="9"/>
    </row>
    <row r="338" spans="1:16" s="3" customFormat="1" x14ac:dyDescent="0.25">
      <c r="A338" s="12"/>
      <c r="B338" s="711" t="s">
        <v>311</v>
      </c>
      <c r="C338" s="712"/>
      <c r="D338" s="712"/>
      <c r="E338" s="712"/>
      <c r="F338" s="712"/>
      <c r="G338" s="712"/>
      <c r="H338" s="712"/>
      <c r="I338" s="712"/>
      <c r="J338" s="712"/>
      <c r="K338" s="712"/>
      <c r="L338" s="713"/>
      <c r="M338" s="168"/>
      <c r="O338" s="154"/>
      <c r="P338" s="154"/>
    </row>
    <row r="339" spans="1:16" s="152" customFormat="1" x14ac:dyDescent="0.25">
      <c r="A339" s="173"/>
      <c r="B339" s="185"/>
      <c r="C339" s="174"/>
      <c r="D339" s="174"/>
      <c r="E339" s="174"/>
      <c r="F339" s="174"/>
      <c r="G339" s="174"/>
      <c r="H339" s="174"/>
      <c r="I339" s="174"/>
      <c r="J339" s="174"/>
      <c r="K339" s="174"/>
      <c r="L339" s="175"/>
      <c r="O339" s="9"/>
      <c r="P339" s="9"/>
    </row>
    <row r="340" spans="1:16" s="152" customFormat="1" x14ac:dyDescent="0.25">
      <c r="A340" s="173"/>
      <c r="B340" s="634" t="str">
        <f>IF(Intro!$G$21="English",O340,P340)</f>
        <v>How does your firm promote sales of the goods in the Canadian market? Have these methods changed since January 1, 2023?</v>
      </c>
      <c r="C340" s="635"/>
      <c r="D340" s="635"/>
      <c r="E340" s="635"/>
      <c r="F340" s="635"/>
      <c r="G340" s="635"/>
      <c r="H340" s="635"/>
      <c r="I340" s="635"/>
      <c r="J340" s="635"/>
      <c r="K340" s="635"/>
      <c r="L340" s="636"/>
      <c r="O340" s="9" t="str">
        <f>"How does your firm promote sales of the goods in the Canadian market? Have these methods changed since January 1, "&amp;Variables!B6&amp;"?"</f>
        <v>How does your firm promote sales of the goods in the Canadian market? Have these methods changed since January 1, 2023?</v>
      </c>
      <c r="P340" s="9"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row>
    <row r="341" spans="1:16" s="152" customFormat="1" x14ac:dyDescent="0.25">
      <c r="A341" s="173"/>
      <c r="B341" s="634"/>
      <c r="C341" s="635"/>
      <c r="D341" s="635"/>
      <c r="E341" s="635"/>
      <c r="F341" s="635"/>
      <c r="G341" s="635"/>
      <c r="H341" s="635"/>
      <c r="I341" s="635"/>
      <c r="J341" s="635"/>
      <c r="K341" s="635"/>
      <c r="L341" s="636"/>
      <c r="O341" s="9"/>
      <c r="P341" s="9"/>
    </row>
    <row r="342" spans="1:16" s="152" customFormat="1" x14ac:dyDescent="0.25">
      <c r="A342" s="173"/>
      <c r="B342" s="185"/>
      <c r="C342" s="174"/>
      <c r="D342" s="174"/>
      <c r="E342" s="174"/>
      <c r="F342" s="174"/>
      <c r="G342" s="174"/>
      <c r="H342" s="174"/>
      <c r="I342" s="174"/>
      <c r="J342" s="174"/>
      <c r="K342" s="174"/>
      <c r="L342" s="175"/>
      <c r="O342" s="9"/>
      <c r="P342" s="9"/>
    </row>
    <row r="343" spans="1:16" s="3" customFormat="1" x14ac:dyDescent="0.25">
      <c r="A343" s="12"/>
      <c r="B343" s="705"/>
      <c r="C343" s="706"/>
      <c r="D343" s="706"/>
      <c r="E343" s="706"/>
      <c r="F343" s="706"/>
      <c r="G343" s="706"/>
      <c r="H343" s="706"/>
      <c r="I343" s="706"/>
      <c r="J343" s="706"/>
      <c r="K343" s="706"/>
      <c r="L343" s="707"/>
      <c r="M343" s="152"/>
      <c r="O343" s="154"/>
      <c r="P343" s="154"/>
    </row>
    <row r="344" spans="1:16" s="3" customFormat="1" x14ac:dyDescent="0.25">
      <c r="A344" s="12"/>
      <c r="B344" s="705"/>
      <c r="C344" s="706"/>
      <c r="D344" s="706"/>
      <c r="E344" s="706"/>
      <c r="F344" s="706"/>
      <c r="G344" s="706"/>
      <c r="H344" s="706"/>
      <c r="I344" s="706"/>
      <c r="J344" s="706"/>
      <c r="K344" s="706"/>
      <c r="L344" s="707"/>
      <c r="M344" s="152"/>
      <c r="O344" s="154"/>
      <c r="P344" s="154"/>
    </row>
    <row r="345" spans="1:16" s="3" customFormat="1" x14ac:dyDescent="0.25">
      <c r="A345" s="12"/>
      <c r="B345" s="705"/>
      <c r="C345" s="706"/>
      <c r="D345" s="706"/>
      <c r="E345" s="706"/>
      <c r="F345" s="706"/>
      <c r="G345" s="706"/>
      <c r="H345" s="706"/>
      <c r="I345" s="706"/>
      <c r="J345" s="706"/>
      <c r="K345" s="706"/>
      <c r="L345" s="707"/>
      <c r="M345" s="152"/>
      <c r="O345" s="154"/>
      <c r="P345" s="154"/>
    </row>
    <row r="346" spans="1:16" s="3" customFormat="1" x14ac:dyDescent="0.25">
      <c r="A346" s="12"/>
      <c r="B346" s="705"/>
      <c r="C346" s="706"/>
      <c r="D346" s="706"/>
      <c r="E346" s="706"/>
      <c r="F346" s="706"/>
      <c r="G346" s="706"/>
      <c r="H346" s="706"/>
      <c r="I346" s="706"/>
      <c r="J346" s="706"/>
      <c r="K346" s="706"/>
      <c r="L346" s="707"/>
      <c r="M346" s="152"/>
      <c r="O346" s="154"/>
      <c r="P346" s="154"/>
    </row>
    <row r="347" spans="1:16" s="3" customFormat="1" x14ac:dyDescent="0.25">
      <c r="A347" s="12"/>
      <c r="B347" s="705"/>
      <c r="C347" s="706"/>
      <c r="D347" s="706"/>
      <c r="E347" s="706"/>
      <c r="F347" s="706"/>
      <c r="G347" s="706"/>
      <c r="H347" s="706"/>
      <c r="I347" s="706"/>
      <c r="J347" s="706"/>
      <c r="K347" s="706"/>
      <c r="L347" s="707"/>
      <c r="M347" s="152"/>
      <c r="O347" s="154"/>
      <c r="P347" s="154"/>
    </row>
    <row r="348" spans="1:16" s="3" customFormat="1" x14ac:dyDescent="0.25">
      <c r="A348" s="12"/>
      <c r="B348" s="705"/>
      <c r="C348" s="706"/>
      <c r="D348" s="706"/>
      <c r="E348" s="706"/>
      <c r="F348" s="706"/>
      <c r="G348" s="706"/>
      <c r="H348" s="706"/>
      <c r="I348" s="706"/>
      <c r="J348" s="706"/>
      <c r="K348" s="706"/>
      <c r="L348" s="707"/>
      <c r="M348" s="152"/>
      <c r="O348" s="154"/>
      <c r="P348" s="154"/>
    </row>
    <row r="349" spans="1:16" s="3" customFormat="1" x14ac:dyDescent="0.25">
      <c r="A349" s="12"/>
      <c r="B349" s="705"/>
      <c r="C349" s="706"/>
      <c r="D349" s="706"/>
      <c r="E349" s="706"/>
      <c r="F349" s="706"/>
      <c r="G349" s="706"/>
      <c r="H349" s="706"/>
      <c r="I349" s="706"/>
      <c r="J349" s="706"/>
      <c r="K349" s="706"/>
      <c r="L349" s="707"/>
      <c r="M349" s="152"/>
      <c r="O349" s="154"/>
      <c r="P349" s="154"/>
    </row>
    <row r="350" spans="1:16" s="3" customFormat="1" x14ac:dyDescent="0.25">
      <c r="A350" s="12"/>
      <c r="B350" s="705"/>
      <c r="C350" s="706"/>
      <c r="D350" s="706"/>
      <c r="E350" s="706"/>
      <c r="F350" s="706"/>
      <c r="G350" s="706"/>
      <c r="H350" s="706"/>
      <c r="I350" s="706"/>
      <c r="J350" s="706"/>
      <c r="K350" s="706"/>
      <c r="L350" s="707"/>
      <c r="M350" s="152"/>
      <c r="O350" s="154"/>
      <c r="P350" s="154"/>
    </row>
    <row r="351" spans="1:16" s="152" customFormat="1" x14ac:dyDescent="0.25">
      <c r="A351" s="173"/>
      <c r="B351" s="187"/>
      <c r="C351" s="188"/>
      <c r="D351" s="188"/>
      <c r="E351" s="188"/>
      <c r="F351" s="188"/>
      <c r="G351" s="188"/>
      <c r="H351" s="188"/>
      <c r="I351" s="188"/>
      <c r="J351" s="188"/>
      <c r="K351" s="188"/>
      <c r="L351" s="186"/>
      <c r="O351" s="9"/>
      <c r="P351" s="9"/>
    </row>
    <row r="352" spans="1:16" s="3" customFormat="1" x14ac:dyDescent="0.25">
      <c r="A352" s="12"/>
      <c r="B352" s="711" t="s">
        <v>312</v>
      </c>
      <c r="C352" s="712"/>
      <c r="D352" s="712"/>
      <c r="E352" s="712"/>
      <c r="F352" s="712"/>
      <c r="G352" s="712"/>
      <c r="H352" s="712"/>
      <c r="I352" s="712"/>
      <c r="J352" s="712"/>
      <c r="K352" s="712"/>
      <c r="L352" s="713"/>
      <c r="M352" s="168"/>
      <c r="O352" s="154"/>
      <c r="P352" s="154"/>
    </row>
    <row r="353" spans="1:16" s="152" customFormat="1" x14ac:dyDescent="0.25">
      <c r="A353" s="173"/>
      <c r="B353" s="185"/>
      <c r="C353" s="174"/>
      <c r="D353" s="174"/>
      <c r="E353" s="174"/>
      <c r="F353" s="174"/>
      <c r="G353" s="174"/>
      <c r="H353" s="174"/>
      <c r="I353" s="174"/>
      <c r="J353" s="174"/>
      <c r="K353" s="174"/>
      <c r="L353" s="175"/>
      <c r="O353" s="9"/>
      <c r="P353" s="9"/>
    </row>
    <row r="354" spans="1:16" s="152" customFormat="1" x14ac:dyDescent="0.25">
      <c r="A354" s="173"/>
      <c r="B354" s="634" t="str">
        <f>IF(Intro!$G$21="English",O354,P354)</f>
        <v>How does your firm price the goods in the Canadian market? Explain any firm-specific terms used. Explain whether these general pricing practices have changed since January 1, 2023.</v>
      </c>
      <c r="C354" s="635"/>
      <c r="D354" s="635"/>
      <c r="E354" s="635"/>
      <c r="F354" s="635"/>
      <c r="G354" s="635"/>
      <c r="H354" s="635"/>
      <c r="I354" s="635"/>
      <c r="J354" s="635"/>
      <c r="K354" s="635"/>
      <c r="L354" s="636"/>
      <c r="O354" s="9"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354" s="9" t="str">
        <f>"Comment votre entreprise fixe-t-elle le prix des marchandises sur le marché canadien? Expliquez en détail les termes spécifiques à votre entreprise. Indiquez si ces pratiques générales de fixation des prix ont changé depuis le 1er janvier "&amp;Variables!B6&amp;"."</f>
        <v>Comment votre entreprise fixe-t-elle le prix des marchandises sur le marché canadien? Expliquez en détail les termes spécifiques à votre entreprise. Indiquez si ces pratiques générales de fixation des prix ont changé depuis le 1er janvier 2023.</v>
      </c>
    </row>
    <row r="355" spans="1:16" s="152" customFormat="1" x14ac:dyDescent="0.25">
      <c r="A355" s="173"/>
      <c r="B355" s="634"/>
      <c r="C355" s="635"/>
      <c r="D355" s="635"/>
      <c r="E355" s="635"/>
      <c r="F355" s="635"/>
      <c r="G355" s="635"/>
      <c r="H355" s="635"/>
      <c r="I355" s="635"/>
      <c r="J355" s="635"/>
      <c r="K355" s="635"/>
      <c r="L355" s="636"/>
      <c r="O355" s="9"/>
      <c r="P355" s="9"/>
    </row>
    <row r="356" spans="1:16" s="152" customFormat="1" x14ac:dyDescent="0.25">
      <c r="A356" s="173"/>
      <c r="B356" s="185"/>
      <c r="C356" s="174"/>
      <c r="D356" s="174"/>
      <c r="E356" s="174"/>
      <c r="F356" s="174"/>
      <c r="G356" s="174"/>
      <c r="H356" s="174"/>
      <c r="I356" s="174"/>
      <c r="J356" s="174"/>
      <c r="K356" s="174"/>
      <c r="L356" s="175"/>
      <c r="O356" s="9"/>
      <c r="P356" s="9"/>
    </row>
    <row r="357" spans="1:16" s="3" customFormat="1" x14ac:dyDescent="0.25">
      <c r="A357" s="12"/>
      <c r="B357" s="705"/>
      <c r="C357" s="706"/>
      <c r="D357" s="706"/>
      <c r="E357" s="706"/>
      <c r="F357" s="706"/>
      <c r="G357" s="706"/>
      <c r="H357" s="706"/>
      <c r="I357" s="706"/>
      <c r="J357" s="706"/>
      <c r="K357" s="706"/>
      <c r="L357" s="707"/>
      <c r="M357" s="152"/>
      <c r="O357" s="154"/>
      <c r="P357" s="154"/>
    </row>
    <row r="358" spans="1:16" s="3" customFormat="1" x14ac:dyDescent="0.25">
      <c r="A358" s="12"/>
      <c r="B358" s="705"/>
      <c r="C358" s="706"/>
      <c r="D358" s="706"/>
      <c r="E358" s="706"/>
      <c r="F358" s="706"/>
      <c r="G358" s="706"/>
      <c r="H358" s="706"/>
      <c r="I358" s="706"/>
      <c r="J358" s="706"/>
      <c r="K358" s="706"/>
      <c r="L358" s="707"/>
      <c r="M358" s="152"/>
      <c r="O358" s="154"/>
      <c r="P358" s="154"/>
    </row>
    <row r="359" spans="1:16" s="3" customFormat="1" x14ac:dyDescent="0.25">
      <c r="A359" s="12"/>
      <c r="B359" s="705"/>
      <c r="C359" s="706"/>
      <c r="D359" s="706"/>
      <c r="E359" s="706"/>
      <c r="F359" s="706"/>
      <c r="G359" s="706"/>
      <c r="H359" s="706"/>
      <c r="I359" s="706"/>
      <c r="J359" s="706"/>
      <c r="K359" s="706"/>
      <c r="L359" s="707"/>
      <c r="M359" s="152"/>
      <c r="O359" s="154"/>
      <c r="P359" s="154"/>
    </row>
    <row r="360" spans="1:16" s="3" customFormat="1" x14ac:dyDescent="0.25">
      <c r="A360" s="12"/>
      <c r="B360" s="705"/>
      <c r="C360" s="706"/>
      <c r="D360" s="706"/>
      <c r="E360" s="706"/>
      <c r="F360" s="706"/>
      <c r="G360" s="706"/>
      <c r="H360" s="706"/>
      <c r="I360" s="706"/>
      <c r="J360" s="706"/>
      <c r="K360" s="706"/>
      <c r="L360" s="707"/>
      <c r="M360" s="152"/>
      <c r="O360" s="154"/>
      <c r="P360" s="154"/>
    </row>
    <row r="361" spans="1:16" s="3" customFormat="1" x14ac:dyDescent="0.25">
      <c r="A361" s="12"/>
      <c r="B361" s="705"/>
      <c r="C361" s="706"/>
      <c r="D361" s="706"/>
      <c r="E361" s="706"/>
      <c r="F361" s="706"/>
      <c r="G361" s="706"/>
      <c r="H361" s="706"/>
      <c r="I361" s="706"/>
      <c r="J361" s="706"/>
      <c r="K361" s="706"/>
      <c r="L361" s="707"/>
      <c r="M361" s="152"/>
      <c r="O361" s="154"/>
      <c r="P361" s="154"/>
    </row>
    <row r="362" spans="1:16" s="3" customFormat="1" x14ac:dyDescent="0.25">
      <c r="A362" s="12"/>
      <c r="B362" s="705"/>
      <c r="C362" s="706"/>
      <c r="D362" s="706"/>
      <c r="E362" s="706"/>
      <c r="F362" s="706"/>
      <c r="G362" s="706"/>
      <c r="H362" s="706"/>
      <c r="I362" s="706"/>
      <c r="J362" s="706"/>
      <c r="K362" s="706"/>
      <c r="L362" s="707"/>
      <c r="M362" s="152"/>
      <c r="O362" s="154"/>
      <c r="P362" s="154"/>
    </row>
    <row r="363" spans="1:16" s="3" customFormat="1" x14ac:dyDescent="0.25">
      <c r="A363" s="12"/>
      <c r="B363" s="705"/>
      <c r="C363" s="706"/>
      <c r="D363" s="706"/>
      <c r="E363" s="706"/>
      <c r="F363" s="706"/>
      <c r="G363" s="706"/>
      <c r="H363" s="706"/>
      <c r="I363" s="706"/>
      <c r="J363" s="706"/>
      <c r="K363" s="706"/>
      <c r="L363" s="707"/>
      <c r="M363" s="152"/>
      <c r="O363" s="154"/>
      <c r="P363" s="154"/>
    </row>
    <row r="364" spans="1:16" s="3" customFormat="1" x14ac:dyDescent="0.25">
      <c r="A364" s="12"/>
      <c r="B364" s="705"/>
      <c r="C364" s="706"/>
      <c r="D364" s="706"/>
      <c r="E364" s="706"/>
      <c r="F364" s="706"/>
      <c r="G364" s="706"/>
      <c r="H364" s="706"/>
      <c r="I364" s="706"/>
      <c r="J364" s="706"/>
      <c r="K364" s="706"/>
      <c r="L364" s="707"/>
      <c r="M364" s="152"/>
      <c r="O364" s="154"/>
      <c r="P364" s="154"/>
    </row>
    <row r="365" spans="1:16" s="152" customFormat="1" x14ac:dyDescent="0.25">
      <c r="A365" s="173"/>
      <c r="B365" s="187"/>
      <c r="C365" s="188"/>
      <c r="D365" s="188"/>
      <c r="E365" s="188"/>
      <c r="F365" s="188"/>
      <c r="G365" s="188"/>
      <c r="H365" s="188"/>
      <c r="I365" s="188"/>
      <c r="J365" s="188"/>
      <c r="K365" s="188"/>
      <c r="L365" s="186"/>
      <c r="O365" s="9"/>
      <c r="P365" s="9"/>
    </row>
    <row r="366" spans="1:16" s="3" customFormat="1" x14ac:dyDescent="0.25">
      <c r="A366" s="12"/>
      <c r="B366" s="711" t="s">
        <v>313</v>
      </c>
      <c r="C366" s="712"/>
      <c r="D366" s="712"/>
      <c r="E366" s="712"/>
      <c r="F366" s="712"/>
      <c r="G366" s="712"/>
      <c r="H366" s="712"/>
      <c r="I366" s="712"/>
      <c r="J366" s="712"/>
      <c r="K366" s="712"/>
      <c r="L366" s="713"/>
      <c r="M366" s="168"/>
      <c r="O366" s="154"/>
      <c r="P366" s="154"/>
    </row>
    <row r="367" spans="1:16" s="152" customFormat="1" x14ac:dyDescent="0.25">
      <c r="A367" s="173"/>
      <c r="B367" s="185"/>
      <c r="C367" s="174"/>
      <c r="D367" s="174"/>
      <c r="E367" s="174"/>
      <c r="F367" s="174"/>
      <c r="G367" s="174"/>
      <c r="H367" s="174"/>
      <c r="I367" s="174"/>
      <c r="J367" s="174"/>
      <c r="K367" s="174"/>
      <c r="L367" s="175"/>
      <c r="O367" s="9"/>
      <c r="P367" s="9"/>
    </row>
    <row r="368" spans="1:16" s="152" customFormat="1" x14ac:dyDescent="0.25">
      <c r="A368" s="173"/>
      <c r="B368" s="634" t="str">
        <f>IF(Intro!$G$21="English",O368,P368)</f>
        <v>Provide details of any factors other than material costs (for example, exchange rate fluctuations) that have affected the prices of the goods in the Canadian market since January 1, 2023.</v>
      </c>
      <c r="C368" s="635"/>
      <c r="D368" s="635"/>
      <c r="E368" s="635"/>
      <c r="F368" s="635"/>
      <c r="G368" s="635"/>
      <c r="H368" s="635"/>
      <c r="I368" s="635"/>
      <c r="J368" s="635"/>
      <c r="K368" s="635"/>
      <c r="L368" s="636"/>
      <c r="O368" s="9" t="str">
        <f>"Provide details of any factors other than material costs (for example, exchange rate fluctuations) that have affected the prices of the goods in the Canadian market since January 1, "&amp;Variables!B6&amp;"."</f>
        <v>Provide details of any factors other than material costs (for example, exchange rate fluctuations) that have affected the prices of the goods in the Canadian market since January 1, 2023.</v>
      </c>
      <c r="P368" s="9" t="str">
        <f>"Fournissez des détails sur tous les facteurs autres que les coûts des matériaux (par exemple, les fluctuations du taux de change) qui ont affecté les prix des marchandises sur le marché canadien depuis le 1er janvier "&amp;Variables!B6&amp;"."</f>
        <v>Fournissez des détails sur tous les facteurs autres que les coûts des matériaux (par exemple, les fluctuations du taux de change) qui ont affecté les prix des marchandises sur le marché canadien depuis le 1er janvier 2023.</v>
      </c>
    </row>
    <row r="369" spans="1:16" s="152" customFormat="1" x14ac:dyDescent="0.25">
      <c r="A369" s="173"/>
      <c r="B369" s="634"/>
      <c r="C369" s="635"/>
      <c r="D369" s="635"/>
      <c r="E369" s="635"/>
      <c r="F369" s="635"/>
      <c r="G369" s="635"/>
      <c r="H369" s="635"/>
      <c r="I369" s="635"/>
      <c r="J369" s="635"/>
      <c r="K369" s="635"/>
      <c r="L369" s="636"/>
      <c r="O369" s="9"/>
      <c r="P369" s="9"/>
    </row>
    <row r="370" spans="1:16" s="152" customFormat="1" x14ac:dyDescent="0.25">
      <c r="A370" s="173"/>
      <c r="B370" s="185"/>
      <c r="C370" s="174"/>
      <c r="D370" s="174"/>
      <c r="E370" s="174"/>
      <c r="F370" s="174"/>
      <c r="G370" s="174"/>
      <c r="H370" s="174"/>
      <c r="I370" s="174"/>
      <c r="J370" s="174"/>
      <c r="K370" s="174"/>
      <c r="L370" s="175"/>
      <c r="O370" s="9"/>
      <c r="P370" s="9"/>
    </row>
    <row r="371" spans="1:16" s="3" customFormat="1" x14ac:dyDescent="0.25">
      <c r="A371" s="12"/>
      <c r="B371" s="705"/>
      <c r="C371" s="706"/>
      <c r="D371" s="706"/>
      <c r="E371" s="706"/>
      <c r="F371" s="706"/>
      <c r="G371" s="706"/>
      <c r="H371" s="706"/>
      <c r="I371" s="706"/>
      <c r="J371" s="706"/>
      <c r="K371" s="706"/>
      <c r="L371" s="707"/>
      <c r="M371" s="152"/>
      <c r="O371" s="154"/>
      <c r="P371" s="154"/>
    </row>
    <row r="372" spans="1:16" s="3" customFormat="1" x14ac:dyDescent="0.25">
      <c r="A372" s="12"/>
      <c r="B372" s="705"/>
      <c r="C372" s="706"/>
      <c r="D372" s="706"/>
      <c r="E372" s="706"/>
      <c r="F372" s="706"/>
      <c r="G372" s="706"/>
      <c r="H372" s="706"/>
      <c r="I372" s="706"/>
      <c r="J372" s="706"/>
      <c r="K372" s="706"/>
      <c r="L372" s="707"/>
      <c r="M372" s="152"/>
      <c r="O372" s="154"/>
      <c r="P372" s="154"/>
    </row>
    <row r="373" spans="1:16" s="3" customFormat="1" x14ac:dyDescent="0.25">
      <c r="A373" s="12"/>
      <c r="B373" s="705"/>
      <c r="C373" s="706"/>
      <c r="D373" s="706"/>
      <c r="E373" s="706"/>
      <c r="F373" s="706"/>
      <c r="G373" s="706"/>
      <c r="H373" s="706"/>
      <c r="I373" s="706"/>
      <c r="J373" s="706"/>
      <c r="K373" s="706"/>
      <c r="L373" s="707"/>
      <c r="M373" s="152"/>
      <c r="O373" s="154"/>
      <c r="P373" s="154"/>
    </row>
    <row r="374" spans="1:16" s="3" customFormat="1" x14ac:dyDescent="0.25">
      <c r="A374" s="12"/>
      <c r="B374" s="705"/>
      <c r="C374" s="706"/>
      <c r="D374" s="706"/>
      <c r="E374" s="706"/>
      <c r="F374" s="706"/>
      <c r="G374" s="706"/>
      <c r="H374" s="706"/>
      <c r="I374" s="706"/>
      <c r="J374" s="706"/>
      <c r="K374" s="706"/>
      <c r="L374" s="707"/>
      <c r="M374" s="152"/>
      <c r="O374" s="154"/>
      <c r="P374" s="154"/>
    </row>
    <row r="375" spans="1:16" s="3" customFormat="1" x14ac:dyDescent="0.25">
      <c r="A375" s="12"/>
      <c r="B375" s="705"/>
      <c r="C375" s="706"/>
      <c r="D375" s="706"/>
      <c r="E375" s="706"/>
      <c r="F375" s="706"/>
      <c r="G375" s="706"/>
      <c r="H375" s="706"/>
      <c r="I375" s="706"/>
      <c r="J375" s="706"/>
      <c r="K375" s="706"/>
      <c r="L375" s="707"/>
      <c r="M375" s="152"/>
      <c r="O375" s="154"/>
      <c r="P375" s="154"/>
    </row>
    <row r="376" spans="1:16" s="3" customFormat="1" x14ac:dyDescent="0.25">
      <c r="A376" s="12"/>
      <c r="B376" s="705"/>
      <c r="C376" s="706"/>
      <c r="D376" s="706"/>
      <c r="E376" s="706"/>
      <c r="F376" s="706"/>
      <c r="G376" s="706"/>
      <c r="H376" s="706"/>
      <c r="I376" s="706"/>
      <c r="J376" s="706"/>
      <c r="K376" s="706"/>
      <c r="L376" s="707"/>
      <c r="M376" s="152"/>
      <c r="O376" s="154"/>
      <c r="P376" s="154"/>
    </row>
    <row r="377" spans="1:16" s="3" customFormat="1" x14ac:dyDescent="0.25">
      <c r="A377" s="12"/>
      <c r="B377" s="705"/>
      <c r="C377" s="706"/>
      <c r="D377" s="706"/>
      <c r="E377" s="706"/>
      <c r="F377" s="706"/>
      <c r="G377" s="706"/>
      <c r="H377" s="706"/>
      <c r="I377" s="706"/>
      <c r="J377" s="706"/>
      <c r="K377" s="706"/>
      <c r="L377" s="707"/>
      <c r="M377" s="152"/>
      <c r="O377" s="154"/>
      <c r="P377" s="154"/>
    </row>
    <row r="378" spans="1:16" s="3" customFormat="1" x14ac:dyDescent="0.25">
      <c r="A378" s="12"/>
      <c r="B378" s="705"/>
      <c r="C378" s="706"/>
      <c r="D378" s="706"/>
      <c r="E378" s="706"/>
      <c r="F378" s="706"/>
      <c r="G378" s="706"/>
      <c r="H378" s="706"/>
      <c r="I378" s="706"/>
      <c r="J378" s="706"/>
      <c r="K378" s="706"/>
      <c r="L378" s="707"/>
      <c r="M378" s="152"/>
      <c r="O378" s="154"/>
      <c r="P378" s="154"/>
    </row>
    <row r="379" spans="1:16" s="152" customFormat="1" x14ac:dyDescent="0.25">
      <c r="A379" s="173"/>
      <c r="B379" s="187"/>
      <c r="C379" s="188"/>
      <c r="D379" s="188"/>
      <c r="E379" s="188"/>
      <c r="F379" s="188"/>
      <c r="G379" s="188"/>
      <c r="H379" s="188"/>
      <c r="I379" s="188"/>
      <c r="J379" s="188"/>
      <c r="K379" s="188"/>
      <c r="L379" s="186"/>
      <c r="O379" s="9"/>
      <c r="P379" s="9"/>
    </row>
    <row r="380" spans="1:16" s="3" customFormat="1" x14ac:dyDescent="0.25">
      <c r="A380" s="12"/>
      <c r="B380" s="711" t="s">
        <v>314</v>
      </c>
      <c r="C380" s="712"/>
      <c r="D380" s="712"/>
      <c r="E380" s="712"/>
      <c r="F380" s="712"/>
      <c r="G380" s="712"/>
      <c r="H380" s="712"/>
      <c r="I380" s="712"/>
      <c r="J380" s="712"/>
      <c r="K380" s="712"/>
      <c r="L380" s="713"/>
      <c r="M380" s="168"/>
      <c r="O380" s="154"/>
      <c r="P380" s="154"/>
    </row>
    <row r="381" spans="1:16" s="152" customFormat="1" x14ac:dyDescent="0.25">
      <c r="A381" s="173"/>
      <c r="B381" s="185"/>
      <c r="C381" s="174"/>
      <c r="D381" s="174"/>
      <c r="E381" s="174"/>
      <c r="F381" s="174"/>
      <c r="G381" s="174"/>
      <c r="H381" s="174"/>
      <c r="I381" s="174"/>
      <c r="J381" s="174"/>
      <c r="K381" s="174"/>
      <c r="L381" s="175"/>
      <c r="O381" s="9"/>
      <c r="P381" s="9"/>
    </row>
    <row r="382" spans="1:16" s="152" customFormat="1" x14ac:dyDescent="0.25">
      <c r="A382" s="173"/>
      <c r="B382" s="708" t="str">
        <f>IF(Intro!$G$21="English",O382,P382)</f>
        <v>Describe how delivery of the goods sold by your firm is paid for.</v>
      </c>
      <c r="C382" s="709"/>
      <c r="D382" s="709"/>
      <c r="E382" s="709"/>
      <c r="F382" s="709"/>
      <c r="G382" s="709"/>
      <c r="H382" s="709"/>
      <c r="I382" s="709"/>
      <c r="J382" s="709"/>
      <c r="K382" s="709"/>
      <c r="L382" s="710"/>
      <c r="O382" s="9" t="s">
        <v>291</v>
      </c>
      <c r="P382" s="9" t="s">
        <v>408</v>
      </c>
    </row>
    <row r="383" spans="1:16" s="152" customFormat="1" x14ac:dyDescent="0.25">
      <c r="A383" s="173"/>
      <c r="B383" s="185"/>
      <c r="C383" s="174"/>
      <c r="D383" s="174"/>
      <c r="E383" s="174"/>
      <c r="F383" s="174"/>
      <c r="G383" s="174"/>
      <c r="H383" s="279" t="str">
        <f>IF(Intro!$G$21="English",O383,P383)</f>
        <v>Select all that apply</v>
      </c>
      <c r="I383" s="174"/>
      <c r="J383" s="174"/>
      <c r="K383" s="174"/>
      <c r="L383" s="175"/>
      <c r="O383" s="2" t="s">
        <v>752</v>
      </c>
      <c r="P383" s="2" t="s">
        <v>753</v>
      </c>
    </row>
    <row r="384" spans="1:16" x14ac:dyDescent="0.25">
      <c r="B384" s="717" t="str">
        <f>IF(Intro!$G$21="English",O384,P384)</f>
        <v xml:space="preserve">Your firm handles delivery, and the cost is built into the price. </v>
      </c>
      <c r="C384" s="718"/>
      <c r="D384" s="718"/>
      <c r="E384" s="718"/>
      <c r="F384" s="718"/>
      <c r="G384" s="719"/>
      <c r="H384" s="208"/>
      <c r="I384" s="174"/>
      <c r="J384" s="174"/>
      <c r="K384" s="174"/>
      <c r="L384" s="175"/>
      <c r="M384" s="2"/>
      <c r="O384" s="9" t="s">
        <v>688</v>
      </c>
      <c r="P384" s="9" t="s">
        <v>693</v>
      </c>
    </row>
    <row r="385" spans="1:16" x14ac:dyDescent="0.25">
      <c r="B385" s="717" t="str">
        <f>IF(Intro!$G$21="English",O385,P385)</f>
        <v xml:space="preserve">Your firm handles delivery, but charges the purchaser separately for it. </v>
      </c>
      <c r="C385" s="718"/>
      <c r="D385" s="718"/>
      <c r="E385" s="718"/>
      <c r="F385" s="718"/>
      <c r="G385" s="719"/>
      <c r="H385" s="208"/>
      <c r="I385" s="174"/>
      <c r="J385" s="174"/>
      <c r="K385" s="174"/>
      <c r="L385" s="175"/>
      <c r="M385" s="2"/>
      <c r="O385" s="9" t="s">
        <v>690</v>
      </c>
      <c r="P385" s="9" t="s">
        <v>692</v>
      </c>
    </row>
    <row r="386" spans="1:16" ht="14.25" customHeight="1" x14ac:dyDescent="0.25">
      <c r="B386" s="717" t="str">
        <f>IF(Intro!$G$21="English",O386,P386)</f>
        <v xml:space="preserve">The purchaser arranges and pays for delivery directly. </v>
      </c>
      <c r="C386" s="718"/>
      <c r="D386" s="718"/>
      <c r="E386" s="718"/>
      <c r="F386" s="718"/>
      <c r="G386" s="719"/>
      <c r="H386" s="208"/>
      <c r="I386" s="174"/>
      <c r="J386" s="174"/>
      <c r="K386" s="174"/>
      <c r="L386" s="175"/>
      <c r="M386" s="2"/>
      <c r="O386" s="9" t="s">
        <v>689</v>
      </c>
      <c r="P386" s="9" t="s">
        <v>691</v>
      </c>
    </row>
    <row r="387" spans="1:16" s="152" customFormat="1" x14ac:dyDescent="0.25">
      <c r="A387" s="173"/>
      <c r="B387" s="185"/>
      <c r="C387" s="174"/>
      <c r="D387" s="174"/>
      <c r="E387" s="174"/>
      <c r="F387" s="174"/>
      <c r="G387" s="174"/>
      <c r="H387" s="174"/>
      <c r="I387" s="174"/>
      <c r="J387" s="174"/>
      <c r="K387" s="174"/>
      <c r="L387" s="175"/>
      <c r="O387" s="9"/>
      <c r="P387" s="9"/>
    </row>
    <row r="388" spans="1:16" s="152" customFormat="1" x14ac:dyDescent="0.25">
      <c r="A388" s="173"/>
      <c r="B388" s="708" t="str">
        <f>IF(Intro!$G$21="English",O388,P388)</f>
        <v>Explain if the method of paying for delivery of the goods sold by your firm has changed since January 1, 2023.</v>
      </c>
      <c r="C388" s="709"/>
      <c r="D388" s="709"/>
      <c r="E388" s="709"/>
      <c r="F388" s="709"/>
      <c r="G388" s="709"/>
      <c r="H388" s="709"/>
      <c r="I388" s="709"/>
      <c r="J388" s="709"/>
      <c r="K388" s="709"/>
      <c r="L388" s="710"/>
      <c r="O388" s="9" t="str">
        <f>"Explain if the method of paying for delivery of the goods sold by your firm has changed since January 1, "&amp;Variables!B6&amp;"."</f>
        <v>Explain if the method of paying for delivery of the goods sold by your firm has changed since January 1, 2023.</v>
      </c>
      <c r="P388" s="9" t="str">
        <f>"Expliquez si le mode de paiement de la livraison des marchandises vendues par votre entreprise a changé depuis le 1er janvier "&amp;Variables!B6&amp;"."</f>
        <v>Expliquez si le mode de paiement de la livraison des marchandises vendues par votre entreprise a changé depuis le 1er janvier 2023.</v>
      </c>
    </row>
    <row r="389" spans="1:16" s="152" customFormat="1" x14ac:dyDescent="0.25">
      <c r="A389" s="173"/>
      <c r="B389" s="185"/>
      <c r="C389" s="174"/>
      <c r="D389" s="174"/>
      <c r="E389" s="174"/>
      <c r="F389" s="174"/>
      <c r="G389" s="174"/>
      <c r="H389" s="174"/>
      <c r="I389" s="174"/>
      <c r="J389" s="174"/>
      <c r="K389" s="174"/>
      <c r="L389" s="175"/>
      <c r="O389" s="9"/>
      <c r="P389" s="9"/>
    </row>
    <row r="390" spans="1:16" s="3" customFormat="1" x14ac:dyDescent="0.25">
      <c r="A390" s="12"/>
      <c r="B390" s="705"/>
      <c r="C390" s="706"/>
      <c r="D390" s="706"/>
      <c r="E390" s="706"/>
      <c r="F390" s="706"/>
      <c r="G390" s="706"/>
      <c r="H390" s="706"/>
      <c r="I390" s="706"/>
      <c r="J390" s="706"/>
      <c r="K390" s="706"/>
      <c r="L390" s="707"/>
      <c r="M390" s="152"/>
      <c r="O390" s="154"/>
      <c r="P390" s="154"/>
    </row>
    <row r="391" spans="1:16" s="3" customFormat="1" x14ac:dyDescent="0.25">
      <c r="A391" s="12"/>
      <c r="B391" s="705"/>
      <c r="C391" s="706"/>
      <c r="D391" s="706"/>
      <c r="E391" s="706"/>
      <c r="F391" s="706"/>
      <c r="G391" s="706"/>
      <c r="H391" s="706"/>
      <c r="I391" s="706"/>
      <c r="J391" s="706"/>
      <c r="K391" s="706"/>
      <c r="L391" s="707"/>
      <c r="M391" s="152"/>
      <c r="O391" s="154"/>
      <c r="P391" s="154"/>
    </row>
    <row r="392" spans="1:16" s="3" customFormat="1" x14ac:dyDescent="0.25">
      <c r="A392" s="12"/>
      <c r="B392" s="705"/>
      <c r="C392" s="706"/>
      <c r="D392" s="706"/>
      <c r="E392" s="706"/>
      <c r="F392" s="706"/>
      <c r="G392" s="706"/>
      <c r="H392" s="706"/>
      <c r="I392" s="706"/>
      <c r="J392" s="706"/>
      <c r="K392" s="706"/>
      <c r="L392" s="707"/>
      <c r="M392" s="152"/>
      <c r="O392" s="154"/>
      <c r="P392" s="154"/>
    </row>
    <row r="393" spans="1:16" s="3" customFormat="1" x14ac:dyDescent="0.25">
      <c r="A393" s="12"/>
      <c r="B393" s="705"/>
      <c r="C393" s="706"/>
      <c r="D393" s="706"/>
      <c r="E393" s="706"/>
      <c r="F393" s="706"/>
      <c r="G393" s="706"/>
      <c r="H393" s="706"/>
      <c r="I393" s="706"/>
      <c r="J393" s="706"/>
      <c r="K393" s="706"/>
      <c r="L393" s="707"/>
      <c r="M393" s="152"/>
      <c r="O393" s="154"/>
      <c r="P393" s="154"/>
    </row>
    <row r="394" spans="1:16" s="3" customFormat="1" x14ac:dyDescent="0.25">
      <c r="A394" s="12"/>
      <c r="B394" s="705"/>
      <c r="C394" s="706"/>
      <c r="D394" s="706"/>
      <c r="E394" s="706"/>
      <c r="F394" s="706"/>
      <c r="G394" s="706"/>
      <c r="H394" s="706"/>
      <c r="I394" s="706"/>
      <c r="J394" s="706"/>
      <c r="K394" s="706"/>
      <c r="L394" s="707"/>
      <c r="M394" s="152"/>
      <c r="O394" s="154"/>
      <c r="P394" s="154"/>
    </row>
    <row r="395" spans="1:16" s="3" customFormat="1" x14ac:dyDescent="0.25">
      <c r="A395" s="12"/>
      <c r="B395" s="705"/>
      <c r="C395" s="706"/>
      <c r="D395" s="706"/>
      <c r="E395" s="706"/>
      <c r="F395" s="706"/>
      <c r="G395" s="706"/>
      <c r="H395" s="706"/>
      <c r="I395" s="706"/>
      <c r="J395" s="706"/>
      <c r="K395" s="706"/>
      <c r="L395" s="707"/>
      <c r="M395" s="152"/>
      <c r="O395" s="154"/>
      <c r="P395" s="154"/>
    </row>
    <row r="396" spans="1:16" s="3" customFormat="1" x14ac:dyDescent="0.25">
      <c r="A396" s="12"/>
      <c r="B396" s="705"/>
      <c r="C396" s="706"/>
      <c r="D396" s="706"/>
      <c r="E396" s="706"/>
      <c r="F396" s="706"/>
      <c r="G396" s="706"/>
      <c r="H396" s="706"/>
      <c r="I396" s="706"/>
      <c r="J396" s="706"/>
      <c r="K396" s="706"/>
      <c r="L396" s="707"/>
      <c r="M396" s="152"/>
      <c r="O396" s="154"/>
      <c r="P396" s="154"/>
    </row>
    <row r="397" spans="1:16" s="3" customFormat="1" x14ac:dyDescent="0.25">
      <c r="A397" s="12"/>
      <c r="B397" s="705"/>
      <c r="C397" s="706"/>
      <c r="D397" s="706"/>
      <c r="E397" s="706"/>
      <c r="F397" s="706"/>
      <c r="G397" s="706"/>
      <c r="H397" s="706"/>
      <c r="I397" s="706"/>
      <c r="J397" s="706"/>
      <c r="K397" s="706"/>
      <c r="L397" s="707"/>
      <c r="M397" s="152"/>
      <c r="O397" s="154"/>
      <c r="P397" s="154"/>
    </row>
    <row r="398" spans="1:16" s="152" customFormat="1" x14ac:dyDescent="0.25">
      <c r="A398" s="173"/>
      <c r="B398" s="187"/>
      <c r="C398" s="188"/>
      <c r="D398" s="188"/>
      <c r="E398" s="188"/>
      <c r="F398" s="188"/>
      <c r="G398" s="188"/>
      <c r="H398" s="188"/>
      <c r="I398" s="188"/>
      <c r="J398" s="188"/>
      <c r="K398" s="188"/>
      <c r="L398" s="186"/>
      <c r="O398" s="9"/>
      <c r="P398" s="9"/>
    </row>
    <row r="399" spans="1:16" s="3" customFormat="1" x14ac:dyDescent="0.25">
      <c r="A399" s="12"/>
      <c r="B399" s="711" t="s">
        <v>315</v>
      </c>
      <c r="C399" s="712"/>
      <c r="D399" s="712"/>
      <c r="E399" s="712"/>
      <c r="F399" s="712"/>
      <c r="G399" s="712"/>
      <c r="H399" s="712"/>
      <c r="I399" s="712"/>
      <c r="J399" s="712"/>
      <c r="K399" s="712"/>
      <c r="L399" s="713"/>
      <c r="M399" s="168"/>
      <c r="O399" s="154"/>
      <c r="P399" s="154"/>
    </row>
    <row r="400" spans="1:16" s="152" customFormat="1" x14ac:dyDescent="0.25">
      <c r="A400" s="173"/>
      <c r="B400" s="185"/>
      <c r="C400" s="174"/>
      <c r="D400" s="174"/>
      <c r="E400" s="174"/>
      <c r="F400" s="174"/>
      <c r="G400" s="174"/>
      <c r="H400" s="174"/>
      <c r="I400" s="174"/>
      <c r="J400" s="174"/>
      <c r="K400" s="174"/>
      <c r="L400" s="175"/>
      <c r="O400" s="9"/>
      <c r="P400" s="9"/>
    </row>
    <row r="401" spans="1:16" s="152" customFormat="1" x14ac:dyDescent="0.25">
      <c r="A401" s="173"/>
      <c r="B401" s="708" t="str">
        <f>IF(Intro!$G$21="English",O401,P401)</f>
        <v>Explain if demand for the goods or sales of the goods have changed since January 1, 2023.</v>
      </c>
      <c r="C401" s="709"/>
      <c r="D401" s="709"/>
      <c r="E401" s="709"/>
      <c r="F401" s="709"/>
      <c r="G401" s="709"/>
      <c r="H401" s="709"/>
      <c r="I401" s="709"/>
      <c r="J401" s="709"/>
      <c r="K401" s="709"/>
      <c r="L401" s="710"/>
      <c r="O401" s="9" t="str">
        <f>"Explain if demand for the goods or sales of the goods have changed since January 1, "&amp;Variables!B6&amp;"."</f>
        <v>Explain if demand for the goods or sales of the goods have changed since January 1, 2023.</v>
      </c>
      <c r="P401" s="9" t="str">
        <f>"Expliquez si la demande pour les marchandises ou les ventes de marchandises ont changé depuis le 1er janvier "&amp;Variables!B6&amp;"."</f>
        <v>Expliquez si la demande pour les marchandises ou les ventes de marchandises ont changé depuis le 1er janvier 2023.</v>
      </c>
    </row>
    <row r="402" spans="1:16" s="152" customFormat="1" x14ac:dyDescent="0.25">
      <c r="A402" s="173"/>
      <c r="B402" s="185"/>
      <c r="C402" s="174"/>
      <c r="D402" s="174"/>
      <c r="E402" s="174"/>
      <c r="F402" s="174"/>
      <c r="G402" s="174"/>
      <c r="H402" s="174"/>
      <c r="I402" s="174"/>
      <c r="J402" s="174"/>
      <c r="K402" s="174"/>
      <c r="L402" s="175"/>
      <c r="O402" s="9"/>
      <c r="P402" s="9"/>
    </row>
    <row r="403" spans="1:16" s="3" customFormat="1" x14ac:dyDescent="0.25">
      <c r="A403" s="12"/>
      <c r="B403" s="705"/>
      <c r="C403" s="706"/>
      <c r="D403" s="706"/>
      <c r="E403" s="706"/>
      <c r="F403" s="706"/>
      <c r="G403" s="706"/>
      <c r="H403" s="706"/>
      <c r="I403" s="706"/>
      <c r="J403" s="706"/>
      <c r="K403" s="706"/>
      <c r="L403" s="707"/>
      <c r="M403" s="152"/>
      <c r="O403" s="154"/>
      <c r="P403" s="154"/>
    </row>
    <row r="404" spans="1:16" s="3" customFormat="1" x14ac:dyDescent="0.25">
      <c r="A404" s="12"/>
      <c r="B404" s="705"/>
      <c r="C404" s="706"/>
      <c r="D404" s="706"/>
      <c r="E404" s="706"/>
      <c r="F404" s="706"/>
      <c r="G404" s="706"/>
      <c r="H404" s="706"/>
      <c r="I404" s="706"/>
      <c r="J404" s="706"/>
      <c r="K404" s="706"/>
      <c r="L404" s="707"/>
      <c r="M404" s="152"/>
      <c r="O404" s="154"/>
      <c r="P404" s="154"/>
    </row>
    <row r="405" spans="1:16" s="3" customFormat="1" x14ac:dyDescent="0.25">
      <c r="A405" s="12"/>
      <c r="B405" s="705"/>
      <c r="C405" s="706"/>
      <c r="D405" s="706"/>
      <c r="E405" s="706"/>
      <c r="F405" s="706"/>
      <c r="G405" s="706"/>
      <c r="H405" s="706"/>
      <c r="I405" s="706"/>
      <c r="J405" s="706"/>
      <c r="K405" s="706"/>
      <c r="L405" s="707"/>
      <c r="M405" s="152"/>
      <c r="O405" s="154"/>
      <c r="P405" s="154"/>
    </row>
    <row r="406" spans="1:16" s="3" customFormat="1" x14ac:dyDescent="0.25">
      <c r="A406" s="12"/>
      <c r="B406" s="705"/>
      <c r="C406" s="706"/>
      <c r="D406" s="706"/>
      <c r="E406" s="706"/>
      <c r="F406" s="706"/>
      <c r="G406" s="706"/>
      <c r="H406" s="706"/>
      <c r="I406" s="706"/>
      <c r="J406" s="706"/>
      <c r="K406" s="706"/>
      <c r="L406" s="707"/>
      <c r="M406" s="152"/>
      <c r="O406" s="154"/>
      <c r="P406" s="154"/>
    </row>
    <row r="407" spans="1:16" s="3" customFormat="1" x14ac:dyDescent="0.25">
      <c r="A407" s="12"/>
      <c r="B407" s="705"/>
      <c r="C407" s="706"/>
      <c r="D407" s="706"/>
      <c r="E407" s="706"/>
      <c r="F407" s="706"/>
      <c r="G407" s="706"/>
      <c r="H407" s="706"/>
      <c r="I407" s="706"/>
      <c r="J407" s="706"/>
      <c r="K407" s="706"/>
      <c r="L407" s="707"/>
      <c r="M407" s="152"/>
      <c r="O407" s="154"/>
      <c r="P407" s="154"/>
    </row>
    <row r="408" spans="1:16" s="3" customFormat="1" x14ac:dyDescent="0.25">
      <c r="A408" s="12"/>
      <c r="B408" s="705"/>
      <c r="C408" s="706"/>
      <c r="D408" s="706"/>
      <c r="E408" s="706"/>
      <c r="F408" s="706"/>
      <c r="G408" s="706"/>
      <c r="H408" s="706"/>
      <c r="I408" s="706"/>
      <c r="J408" s="706"/>
      <c r="K408" s="706"/>
      <c r="L408" s="707"/>
      <c r="M408" s="152"/>
      <c r="O408" s="154"/>
      <c r="P408" s="154"/>
    </row>
    <row r="409" spans="1:16" s="3" customFormat="1" x14ac:dyDescent="0.25">
      <c r="A409" s="12"/>
      <c r="B409" s="705"/>
      <c r="C409" s="706"/>
      <c r="D409" s="706"/>
      <c r="E409" s="706"/>
      <c r="F409" s="706"/>
      <c r="G409" s="706"/>
      <c r="H409" s="706"/>
      <c r="I409" s="706"/>
      <c r="J409" s="706"/>
      <c r="K409" s="706"/>
      <c r="L409" s="707"/>
      <c r="M409" s="152"/>
      <c r="O409" s="154"/>
      <c r="P409" s="154"/>
    </row>
    <row r="410" spans="1:16" s="3" customFormat="1" x14ac:dyDescent="0.25">
      <c r="A410" s="12"/>
      <c r="B410" s="705"/>
      <c r="C410" s="706"/>
      <c r="D410" s="706"/>
      <c r="E410" s="706"/>
      <c r="F410" s="706"/>
      <c r="G410" s="706"/>
      <c r="H410" s="706"/>
      <c r="I410" s="706"/>
      <c r="J410" s="706"/>
      <c r="K410" s="706"/>
      <c r="L410" s="707"/>
      <c r="M410" s="152"/>
      <c r="O410" s="154"/>
      <c r="P410" s="154"/>
    </row>
    <row r="411" spans="1:16" s="152" customFormat="1" x14ac:dyDescent="0.25">
      <c r="A411" s="173"/>
      <c r="B411" s="187"/>
      <c r="C411" s="188"/>
      <c r="D411" s="188"/>
      <c r="E411" s="188"/>
      <c r="F411" s="188"/>
      <c r="G411" s="188"/>
      <c r="H411" s="188"/>
      <c r="I411" s="188"/>
      <c r="J411" s="188"/>
      <c r="K411" s="188"/>
      <c r="L411" s="186"/>
      <c r="O411" s="9"/>
      <c r="P411" s="9"/>
    </row>
    <row r="413" spans="1:16" x14ac:dyDescent="0.25">
      <c r="B413" s="618" t="str">
        <f>IF(Intro!$G$21="English",O413,P413)</f>
        <v>MARKETS</v>
      </c>
      <c r="C413" s="619"/>
      <c r="D413" s="619"/>
      <c r="E413" s="619"/>
      <c r="F413" s="619"/>
      <c r="G413" s="619"/>
      <c r="H413" s="619"/>
      <c r="I413" s="619"/>
      <c r="J413" s="619"/>
      <c r="K413" s="619"/>
      <c r="L413" s="620"/>
      <c r="M413" s="152"/>
      <c r="O413" s="199" t="s">
        <v>647</v>
      </c>
      <c r="P413" s="199" t="s">
        <v>648</v>
      </c>
    </row>
    <row r="414" spans="1:16" x14ac:dyDescent="0.25">
      <c r="B414" s="714" t="s">
        <v>330</v>
      </c>
      <c r="C414" s="715"/>
      <c r="D414" s="715"/>
      <c r="E414" s="715"/>
      <c r="F414" s="715"/>
      <c r="G414" s="715"/>
      <c r="H414" s="715"/>
      <c r="I414" s="715"/>
      <c r="J414" s="715"/>
      <c r="K414" s="715"/>
      <c r="L414" s="716"/>
      <c r="M414" s="2"/>
    </row>
    <row r="415" spans="1:16" x14ac:dyDescent="0.25">
      <c r="B415" s="24"/>
      <c r="C415" s="25"/>
      <c r="D415" s="25"/>
      <c r="E415" s="26"/>
      <c r="F415" s="26"/>
      <c r="G415" s="26"/>
      <c r="H415" s="26"/>
      <c r="I415" s="26"/>
      <c r="J415" s="26"/>
      <c r="K415" s="26"/>
      <c r="L415" s="27"/>
      <c r="M415" s="2"/>
    </row>
    <row r="416" spans="1:16" x14ac:dyDescent="0.25">
      <c r="B416" s="612" t="str">
        <f>IF(Intro!$G$21="English",O416,P416)</f>
        <v>Describe the markets for the goods in Canada and globally since January 1, 2023. Factors to consider in your response include, but are not limited to, demand, sales, prices, capacity utilization and import volumes of the goods.</v>
      </c>
      <c r="C416" s="613"/>
      <c r="D416" s="613"/>
      <c r="E416" s="613"/>
      <c r="F416" s="613"/>
      <c r="G416" s="613"/>
      <c r="H416" s="613"/>
      <c r="I416" s="613"/>
      <c r="J416" s="613"/>
      <c r="K416" s="613"/>
      <c r="L416" s="614"/>
      <c r="M416" s="2"/>
      <c r="O416" s="155" t="str">
        <f>"Describe the markets for the goods in Canada and globally since January 1, "&amp;Variables!B6&amp;". Factors to consider in your response include, but are not limited to, demand, sales, prices, capacity utilization and import volumes of the goods."</f>
        <v>Describe the markets for the goods in Canada and globally since January 1, 2023. Factors to consider in your response include, but are not limited to, demand, sales, prices, capacity utilization and import volumes of the goods.</v>
      </c>
      <c r="P416" s="9" t="str">
        <f>"Décrivez les marchés des marchandises au Canada et dans le monde depuis le 1er janvier "&amp;Variables!B6&amp;". Les facteurs à prendre en compte dans votre réponse comprennent, sans s'y limiter, la demande, les ventes, les prix, l'utilisation de la capacité et les volumes d'importations des marchandises."</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row>
    <row r="417" spans="1:16" x14ac:dyDescent="0.25">
      <c r="B417" s="612"/>
      <c r="C417" s="613"/>
      <c r="D417" s="613"/>
      <c r="E417" s="613"/>
      <c r="F417" s="613"/>
      <c r="G417" s="613"/>
      <c r="H417" s="613"/>
      <c r="I417" s="613"/>
      <c r="J417" s="613"/>
      <c r="K417" s="613"/>
      <c r="L417" s="614"/>
      <c r="M417" s="2"/>
      <c r="O417" s="155"/>
    </row>
    <row r="418" spans="1:16" s="152" customFormat="1" x14ac:dyDescent="0.25">
      <c r="A418" s="173"/>
      <c r="B418" s="185"/>
      <c r="C418" s="174"/>
      <c r="D418" s="174"/>
      <c r="E418" s="174"/>
      <c r="F418" s="174"/>
      <c r="G418" s="174"/>
      <c r="H418" s="174"/>
      <c r="I418" s="174"/>
      <c r="J418" s="174"/>
      <c r="K418" s="174"/>
      <c r="L418" s="175"/>
      <c r="O418" s="9"/>
      <c r="P418" s="9"/>
    </row>
    <row r="419" spans="1:16" s="3" customFormat="1" x14ac:dyDescent="0.25">
      <c r="A419" s="12"/>
      <c r="B419" s="705"/>
      <c r="C419" s="706"/>
      <c r="D419" s="706"/>
      <c r="E419" s="706"/>
      <c r="F419" s="706"/>
      <c r="G419" s="706"/>
      <c r="H419" s="706"/>
      <c r="I419" s="706"/>
      <c r="J419" s="706"/>
      <c r="K419" s="706"/>
      <c r="L419" s="707"/>
      <c r="M419" s="152"/>
      <c r="O419" s="154"/>
      <c r="P419" s="154"/>
    </row>
    <row r="420" spans="1:16" s="3" customFormat="1" x14ac:dyDescent="0.25">
      <c r="A420" s="12"/>
      <c r="B420" s="705"/>
      <c r="C420" s="706"/>
      <c r="D420" s="706"/>
      <c r="E420" s="706"/>
      <c r="F420" s="706"/>
      <c r="G420" s="706"/>
      <c r="H420" s="706"/>
      <c r="I420" s="706"/>
      <c r="J420" s="706"/>
      <c r="K420" s="706"/>
      <c r="L420" s="707"/>
      <c r="M420" s="152"/>
      <c r="O420" s="154"/>
      <c r="P420" s="154"/>
    </row>
    <row r="421" spans="1:16" s="3" customFormat="1" x14ac:dyDescent="0.25">
      <c r="A421" s="12"/>
      <c r="B421" s="705"/>
      <c r="C421" s="706"/>
      <c r="D421" s="706"/>
      <c r="E421" s="706"/>
      <c r="F421" s="706"/>
      <c r="G421" s="706"/>
      <c r="H421" s="706"/>
      <c r="I421" s="706"/>
      <c r="J421" s="706"/>
      <c r="K421" s="706"/>
      <c r="L421" s="707"/>
      <c r="M421" s="152"/>
      <c r="O421" s="154"/>
      <c r="P421" s="154"/>
    </row>
    <row r="422" spans="1:16" s="3" customFormat="1" x14ac:dyDescent="0.25">
      <c r="A422" s="12"/>
      <c r="B422" s="705"/>
      <c r="C422" s="706"/>
      <c r="D422" s="706"/>
      <c r="E422" s="706"/>
      <c r="F422" s="706"/>
      <c r="G422" s="706"/>
      <c r="H422" s="706"/>
      <c r="I422" s="706"/>
      <c r="J422" s="706"/>
      <c r="K422" s="706"/>
      <c r="L422" s="707"/>
      <c r="M422" s="152"/>
      <c r="O422" s="154"/>
      <c r="P422" s="154"/>
    </row>
    <row r="423" spans="1:16" s="3" customFormat="1" x14ac:dyDescent="0.25">
      <c r="A423" s="12"/>
      <c r="B423" s="705"/>
      <c r="C423" s="706"/>
      <c r="D423" s="706"/>
      <c r="E423" s="706"/>
      <c r="F423" s="706"/>
      <c r="G423" s="706"/>
      <c r="H423" s="706"/>
      <c r="I423" s="706"/>
      <c r="J423" s="706"/>
      <c r="K423" s="706"/>
      <c r="L423" s="707"/>
      <c r="M423" s="152"/>
      <c r="O423" s="154"/>
      <c r="P423" s="154"/>
    </row>
    <row r="424" spans="1:16" s="3" customFormat="1" x14ac:dyDescent="0.25">
      <c r="A424" s="12"/>
      <c r="B424" s="705"/>
      <c r="C424" s="706"/>
      <c r="D424" s="706"/>
      <c r="E424" s="706"/>
      <c r="F424" s="706"/>
      <c r="G424" s="706"/>
      <c r="H424" s="706"/>
      <c r="I424" s="706"/>
      <c r="J424" s="706"/>
      <c r="K424" s="706"/>
      <c r="L424" s="707"/>
      <c r="M424" s="152"/>
      <c r="O424" s="154"/>
      <c r="P424" s="154"/>
    </row>
    <row r="425" spans="1:16" s="3" customFormat="1" x14ac:dyDescent="0.25">
      <c r="A425" s="12"/>
      <c r="B425" s="705"/>
      <c r="C425" s="706"/>
      <c r="D425" s="706"/>
      <c r="E425" s="706"/>
      <c r="F425" s="706"/>
      <c r="G425" s="706"/>
      <c r="H425" s="706"/>
      <c r="I425" s="706"/>
      <c r="J425" s="706"/>
      <c r="K425" s="706"/>
      <c r="L425" s="707"/>
      <c r="M425" s="152"/>
      <c r="O425" s="154"/>
      <c r="P425" s="154"/>
    </row>
    <row r="426" spans="1:16" s="3" customFormat="1" x14ac:dyDescent="0.25">
      <c r="A426" s="12"/>
      <c r="B426" s="705"/>
      <c r="C426" s="706"/>
      <c r="D426" s="706"/>
      <c r="E426" s="706"/>
      <c r="F426" s="706"/>
      <c r="G426" s="706"/>
      <c r="H426" s="706"/>
      <c r="I426" s="706"/>
      <c r="J426" s="706"/>
      <c r="K426" s="706"/>
      <c r="L426" s="707"/>
      <c r="M426" s="152"/>
      <c r="O426" s="154"/>
      <c r="P426" s="154"/>
    </row>
    <row r="427" spans="1:16" s="152" customFormat="1" x14ac:dyDescent="0.25">
      <c r="A427" s="173"/>
      <c r="B427" s="187"/>
      <c r="C427" s="188"/>
      <c r="D427" s="188"/>
      <c r="E427" s="188"/>
      <c r="F427" s="188"/>
      <c r="G427" s="188"/>
      <c r="H427" s="188"/>
      <c r="I427" s="188"/>
      <c r="J427" s="188"/>
      <c r="K427" s="188"/>
      <c r="L427" s="186"/>
      <c r="O427" s="9"/>
      <c r="P427" s="9"/>
    </row>
    <row r="428" spans="1:16" x14ac:dyDescent="0.25">
      <c r="B428" s="711" t="s">
        <v>331</v>
      </c>
      <c r="C428" s="712"/>
      <c r="D428" s="712"/>
      <c r="E428" s="712"/>
      <c r="F428" s="712"/>
      <c r="G428" s="712"/>
      <c r="H428" s="712"/>
      <c r="I428" s="712"/>
      <c r="J428" s="712"/>
      <c r="K428" s="712"/>
      <c r="L428" s="713"/>
      <c r="M428" s="2"/>
    </row>
    <row r="429" spans="1:16" x14ac:dyDescent="0.25">
      <c r="B429" s="24"/>
      <c r="C429" s="25"/>
      <c r="D429" s="25"/>
      <c r="E429" s="26"/>
      <c r="F429" s="26"/>
      <c r="G429" s="26"/>
      <c r="H429" s="26"/>
      <c r="I429" s="26"/>
      <c r="J429" s="26"/>
      <c r="K429" s="26"/>
      <c r="L429" s="27"/>
      <c r="M429" s="2"/>
    </row>
    <row r="430" spans="1:16" x14ac:dyDescent="0.25">
      <c r="B430" s="612" t="str">
        <f>IF(Intro!$G$21="English",O430,P430)</f>
        <v>Explain any changes you expect to see in the Canadian market and in other markets globally for the goods over the next two years with respect to demand, prices, capacity utilization, import volumes or any other factor.</v>
      </c>
      <c r="C430" s="613"/>
      <c r="D430" s="613"/>
      <c r="E430" s="613"/>
      <c r="F430" s="613"/>
      <c r="G430" s="613"/>
      <c r="H430" s="613"/>
      <c r="I430" s="613"/>
      <c r="J430" s="613"/>
      <c r="K430" s="613"/>
      <c r="L430" s="614"/>
      <c r="M430" s="2"/>
      <c r="O430" s="155" t="str">
        <f>"Explain any changes you expect to see in the Canadian market and in other markets globally for the goods over the next two years with respect to demand, prices, capacity utilization, import volumes or any other factor."</f>
        <v>Explain any changes you expect to see in the Canadian market and in other markets globally for the goods over the next two years with respect to demand, prices, capacity utilization, import volumes or any other factor.</v>
      </c>
      <c r="P430" s="9" t="s">
        <v>696</v>
      </c>
    </row>
    <row r="431" spans="1:16" x14ac:dyDescent="0.25">
      <c r="B431" s="612"/>
      <c r="C431" s="613"/>
      <c r="D431" s="613"/>
      <c r="E431" s="613"/>
      <c r="F431" s="613"/>
      <c r="G431" s="613"/>
      <c r="H431" s="613"/>
      <c r="I431" s="613"/>
      <c r="J431" s="613"/>
      <c r="K431" s="613"/>
      <c r="L431" s="614"/>
      <c r="M431" s="2"/>
      <c r="O431" s="155"/>
    </row>
    <row r="432" spans="1:16" s="152" customFormat="1" x14ac:dyDescent="0.25">
      <c r="A432" s="173"/>
      <c r="B432" s="185"/>
      <c r="C432" s="174"/>
      <c r="D432" s="174"/>
      <c r="E432" s="174"/>
      <c r="F432" s="174"/>
      <c r="G432" s="174"/>
      <c r="H432" s="174"/>
      <c r="I432" s="174"/>
      <c r="J432" s="174"/>
      <c r="K432" s="174"/>
      <c r="L432" s="175"/>
      <c r="O432" s="9"/>
      <c r="P432" s="9"/>
    </row>
    <row r="433" spans="1:17" s="3" customFormat="1" x14ac:dyDescent="0.25">
      <c r="A433" s="12"/>
      <c r="B433" s="705"/>
      <c r="C433" s="706"/>
      <c r="D433" s="706"/>
      <c r="E433" s="706"/>
      <c r="F433" s="706"/>
      <c r="G433" s="706"/>
      <c r="H433" s="706"/>
      <c r="I433" s="706"/>
      <c r="J433" s="706"/>
      <c r="K433" s="706"/>
      <c r="L433" s="707"/>
      <c r="M433" s="152"/>
      <c r="O433" s="154"/>
      <c r="P433" s="154"/>
    </row>
    <row r="434" spans="1:17" s="3" customFormat="1" x14ac:dyDescent="0.25">
      <c r="A434" s="12"/>
      <c r="B434" s="705"/>
      <c r="C434" s="706"/>
      <c r="D434" s="706"/>
      <c r="E434" s="706"/>
      <c r="F434" s="706"/>
      <c r="G434" s="706"/>
      <c r="H434" s="706"/>
      <c r="I434" s="706"/>
      <c r="J434" s="706"/>
      <c r="K434" s="706"/>
      <c r="L434" s="707"/>
      <c r="M434" s="152"/>
      <c r="O434" s="154"/>
      <c r="P434" s="154"/>
    </row>
    <row r="435" spans="1:17" s="3" customFormat="1" x14ac:dyDescent="0.25">
      <c r="A435" s="12"/>
      <c r="B435" s="705"/>
      <c r="C435" s="706"/>
      <c r="D435" s="706"/>
      <c r="E435" s="706"/>
      <c r="F435" s="706"/>
      <c r="G435" s="706"/>
      <c r="H435" s="706"/>
      <c r="I435" s="706"/>
      <c r="J435" s="706"/>
      <c r="K435" s="706"/>
      <c r="L435" s="707"/>
      <c r="M435" s="152"/>
      <c r="O435" s="154"/>
      <c r="P435" s="154"/>
    </row>
    <row r="436" spans="1:17" s="3" customFormat="1" x14ac:dyDescent="0.25">
      <c r="A436" s="12"/>
      <c r="B436" s="705"/>
      <c r="C436" s="706"/>
      <c r="D436" s="706"/>
      <c r="E436" s="706"/>
      <c r="F436" s="706"/>
      <c r="G436" s="706"/>
      <c r="H436" s="706"/>
      <c r="I436" s="706"/>
      <c r="J436" s="706"/>
      <c r="K436" s="706"/>
      <c r="L436" s="707"/>
      <c r="M436" s="152"/>
      <c r="O436" s="154"/>
      <c r="P436" s="154"/>
    </row>
    <row r="437" spans="1:17" s="3" customFormat="1" x14ac:dyDescent="0.25">
      <c r="A437" s="12"/>
      <c r="B437" s="705"/>
      <c r="C437" s="706"/>
      <c r="D437" s="706"/>
      <c r="E437" s="706"/>
      <c r="F437" s="706"/>
      <c r="G437" s="706"/>
      <c r="H437" s="706"/>
      <c r="I437" s="706"/>
      <c r="J437" s="706"/>
      <c r="K437" s="706"/>
      <c r="L437" s="707"/>
      <c r="M437" s="152"/>
      <c r="O437" s="154"/>
      <c r="P437" s="154"/>
    </row>
    <row r="438" spans="1:17" s="3" customFormat="1" x14ac:dyDescent="0.25">
      <c r="A438" s="12"/>
      <c r="B438" s="705"/>
      <c r="C438" s="706"/>
      <c r="D438" s="706"/>
      <c r="E438" s="706"/>
      <c r="F438" s="706"/>
      <c r="G438" s="706"/>
      <c r="H438" s="706"/>
      <c r="I438" s="706"/>
      <c r="J438" s="706"/>
      <c r="K438" s="706"/>
      <c r="L438" s="707"/>
      <c r="M438" s="152"/>
      <c r="O438" s="154"/>
      <c r="P438" s="154"/>
    </row>
    <row r="439" spans="1:17" s="3" customFormat="1" x14ac:dyDescent="0.25">
      <c r="A439" s="12"/>
      <c r="B439" s="705"/>
      <c r="C439" s="706"/>
      <c r="D439" s="706"/>
      <c r="E439" s="706"/>
      <c r="F439" s="706"/>
      <c r="G439" s="706"/>
      <c r="H439" s="706"/>
      <c r="I439" s="706"/>
      <c r="J439" s="706"/>
      <c r="K439" s="706"/>
      <c r="L439" s="707"/>
      <c r="M439" s="152"/>
      <c r="O439" s="154"/>
      <c r="P439" s="154"/>
    </row>
    <row r="440" spans="1:17" s="3" customFormat="1" x14ac:dyDescent="0.25">
      <c r="A440" s="12"/>
      <c r="B440" s="705"/>
      <c r="C440" s="706"/>
      <c r="D440" s="706"/>
      <c r="E440" s="706"/>
      <c r="F440" s="706"/>
      <c r="G440" s="706"/>
      <c r="H440" s="706"/>
      <c r="I440" s="706"/>
      <c r="J440" s="706"/>
      <c r="K440" s="706"/>
      <c r="L440" s="707"/>
      <c r="M440" s="152"/>
      <c r="O440" s="154"/>
      <c r="P440" s="154"/>
    </row>
    <row r="441" spans="1:17" s="152" customFormat="1" x14ac:dyDescent="0.25">
      <c r="A441" s="173"/>
      <c r="B441" s="187"/>
      <c r="C441" s="188"/>
      <c r="D441" s="188"/>
      <c r="E441" s="188"/>
      <c r="F441" s="188"/>
      <c r="G441" s="188"/>
      <c r="H441" s="188"/>
      <c r="I441" s="188"/>
      <c r="J441" s="188"/>
      <c r="K441" s="188"/>
      <c r="L441" s="186"/>
      <c r="O441" s="9"/>
      <c r="P441" s="9"/>
    </row>
    <row r="442" spans="1:17" x14ac:dyDescent="0.25">
      <c r="B442" s="742" t="s">
        <v>681</v>
      </c>
      <c r="C442" s="743"/>
      <c r="D442" s="743"/>
      <c r="E442" s="743"/>
      <c r="F442" s="744"/>
      <c r="G442" s="744"/>
      <c r="H442" s="744"/>
      <c r="I442" s="744"/>
      <c r="J442" s="744"/>
      <c r="K442" s="744"/>
      <c r="L442" s="745"/>
      <c r="O442" s="2"/>
      <c r="P442" s="2"/>
    </row>
    <row r="443" spans="1:17" x14ac:dyDescent="0.25">
      <c r="B443" s="224"/>
      <c r="C443" s="225"/>
      <c r="D443" s="225"/>
      <c r="E443" s="225"/>
      <c r="F443" s="171"/>
      <c r="G443" s="171"/>
      <c r="H443" s="171"/>
      <c r="I443" s="171"/>
      <c r="J443" s="171"/>
      <c r="K443" s="171"/>
      <c r="L443" s="172"/>
      <c r="O443" s="2"/>
      <c r="P443" s="2"/>
    </row>
    <row r="444" spans="1:17" x14ac:dyDescent="0.25">
      <c r="B444" s="634" t="str">
        <f>IF(Intro!$G$21="English",O444,P444)</f>
        <v>Explain any impacts on these outlooks should there be a finding of injury or threat of injury. Provide documents, or the names of documents, such as studies or articles in trade journals, that support your firm's statement.</v>
      </c>
      <c r="C444" s="635"/>
      <c r="D444" s="635"/>
      <c r="E444" s="635"/>
      <c r="F444" s="635"/>
      <c r="G444" s="635"/>
      <c r="H444" s="635"/>
      <c r="I444" s="635"/>
      <c r="J444" s="635"/>
      <c r="K444" s="635"/>
      <c r="L444" s="636"/>
      <c r="O444" s="155" t="s">
        <v>679</v>
      </c>
      <c r="P444" s="10" t="s">
        <v>680</v>
      </c>
      <c r="Q444" s="10"/>
    </row>
    <row r="445" spans="1:17" x14ac:dyDescent="0.25">
      <c r="B445" s="634"/>
      <c r="C445" s="635"/>
      <c r="D445" s="635"/>
      <c r="E445" s="635"/>
      <c r="F445" s="635"/>
      <c r="G445" s="635"/>
      <c r="H445" s="635"/>
      <c r="I445" s="635"/>
      <c r="J445" s="635"/>
      <c r="K445" s="635"/>
      <c r="L445" s="636"/>
      <c r="O445" s="155"/>
      <c r="P445" s="226"/>
      <c r="Q445" s="226"/>
    </row>
    <row r="446" spans="1:17" x14ac:dyDescent="0.25">
      <c r="B446" s="164"/>
      <c r="C446" s="151"/>
      <c r="D446" s="151"/>
      <c r="E446" s="151"/>
      <c r="F446" s="151"/>
      <c r="G446" s="151"/>
      <c r="H446" s="151"/>
      <c r="I446" s="151"/>
      <c r="J446" s="151"/>
      <c r="K446" s="151"/>
      <c r="L446" s="162"/>
      <c r="O446" s="227"/>
      <c r="P446" s="227"/>
      <c r="Q446" s="228"/>
    </row>
    <row r="447" spans="1:17" s="3" customFormat="1" x14ac:dyDescent="0.25">
      <c r="A447" s="12"/>
      <c r="B447" s="705"/>
      <c r="C447" s="706"/>
      <c r="D447" s="706"/>
      <c r="E447" s="706"/>
      <c r="F447" s="706"/>
      <c r="G447" s="706"/>
      <c r="H447" s="706"/>
      <c r="I447" s="706"/>
      <c r="J447" s="706"/>
      <c r="K447" s="706"/>
      <c r="L447" s="707"/>
      <c r="M447" s="152"/>
      <c r="Q447" s="2"/>
    </row>
    <row r="448" spans="1:17" s="3" customFormat="1" x14ac:dyDescent="0.25">
      <c r="A448" s="12"/>
      <c r="B448" s="705"/>
      <c r="C448" s="706"/>
      <c r="D448" s="706"/>
      <c r="E448" s="706"/>
      <c r="F448" s="706"/>
      <c r="G448" s="706"/>
      <c r="H448" s="706"/>
      <c r="I448" s="706"/>
      <c r="J448" s="706"/>
      <c r="K448" s="706"/>
      <c r="L448" s="707"/>
      <c r="M448" s="152"/>
      <c r="Q448" s="2"/>
    </row>
    <row r="449" spans="1:17" s="3" customFormat="1" x14ac:dyDescent="0.25">
      <c r="A449" s="12"/>
      <c r="B449" s="705"/>
      <c r="C449" s="706"/>
      <c r="D449" s="706"/>
      <c r="E449" s="706"/>
      <c r="F449" s="706"/>
      <c r="G449" s="706"/>
      <c r="H449" s="706"/>
      <c r="I449" s="706"/>
      <c r="J449" s="706"/>
      <c r="K449" s="706"/>
      <c r="L449" s="707"/>
      <c r="M449" s="152"/>
      <c r="O449" s="154"/>
      <c r="P449" s="154"/>
    </row>
    <row r="450" spans="1:17" s="3" customFormat="1" x14ac:dyDescent="0.25">
      <c r="A450" s="12"/>
      <c r="B450" s="705"/>
      <c r="C450" s="706"/>
      <c r="D450" s="706"/>
      <c r="E450" s="706"/>
      <c r="F450" s="706"/>
      <c r="G450" s="706"/>
      <c r="H450" s="706"/>
      <c r="I450" s="706"/>
      <c r="J450" s="706"/>
      <c r="K450" s="706"/>
      <c r="L450" s="707"/>
      <c r="M450" s="152"/>
      <c r="O450" s="154"/>
      <c r="P450" s="154"/>
    </row>
    <row r="451" spans="1:17" s="3" customFormat="1" x14ac:dyDescent="0.25">
      <c r="A451" s="12"/>
      <c r="B451" s="705"/>
      <c r="C451" s="706"/>
      <c r="D451" s="706"/>
      <c r="E451" s="706"/>
      <c r="F451" s="706"/>
      <c r="G451" s="706"/>
      <c r="H451" s="706"/>
      <c r="I451" s="706"/>
      <c r="J451" s="706"/>
      <c r="K451" s="706"/>
      <c r="L451" s="707"/>
      <c r="M451" s="152"/>
      <c r="Q451" s="2"/>
    </row>
    <row r="452" spans="1:17" s="3" customFormat="1" x14ac:dyDescent="0.25">
      <c r="A452" s="12"/>
      <c r="B452" s="705"/>
      <c r="C452" s="706"/>
      <c r="D452" s="706"/>
      <c r="E452" s="706"/>
      <c r="F452" s="706"/>
      <c r="G452" s="706"/>
      <c r="H452" s="706"/>
      <c r="I452" s="706"/>
      <c r="J452" s="706"/>
      <c r="K452" s="706"/>
      <c r="L452" s="707"/>
      <c r="M452" s="152"/>
      <c r="Q452" s="2"/>
    </row>
    <row r="453" spans="1:17" s="3" customFormat="1" x14ac:dyDescent="0.25">
      <c r="A453" s="12"/>
      <c r="B453" s="705"/>
      <c r="C453" s="706"/>
      <c r="D453" s="706"/>
      <c r="E453" s="706"/>
      <c r="F453" s="706"/>
      <c r="G453" s="706"/>
      <c r="H453" s="706"/>
      <c r="I453" s="706"/>
      <c r="J453" s="706"/>
      <c r="K453" s="706"/>
      <c r="L453" s="707"/>
      <c r="M453" s="152"/>
      <c r="Q453" s="2"/>
    </row>
    <row r="454" spans="1:17" s="3" customFormat="1" x14ac:dyDescent="0.25">
      <c r="A454" s="12"/>
      <c r="B454" s="705"/>
      <c r="C454" s="706"/>
      <c r="D454" s="706"/>
      <c r="E454" s="706"/>
      <c r="F454" s="706"/>
      <c r="G454" s="706"/>
      <c r="H454" s="706"/>
      <c r="I454" s="706"/>
      <c r="J454" s="706"/>
      <c r="K454" s="706"/>
      <c r="L454" s="707"/>
      <c r="M454" s="152"/>
      <c r="Q454" s="2"/>
    </row>
    <row r="455" spans="1:17" x14ac:dyDescent="0.25">
      <c r="B455" s="739"/>
      <c r="C455" s="740"/>
      <c r="D455" s="740"/>
      <c r="E455" s="740"/>
      <c r="F455" s="740"/>
      <c r="G455" s="740"/>
      <c r="H455" s="740"/>
      <c r="I455" s="740"/>
      <c r="J455" s="740"/>
      <c r="K455" s="740"/>
      <c r="L455" s="741"/>
      <c r="O455" s="2"/>
      <c r="P455" s="2"/>
    </row>
  </sheetData>
  <sheetProtection algorithmName="SHA-512" hashValue="/CieV5l8wcVbJFBP8MPOqPIbxfF0CIneTfRL/81hKyWBDVrT+B/PdVtsRXejcFuWSXjKp/I6Md0wEu/9+wrl1g==" saltValue="+XSHn3Xi8aNvcjk5yazoDg==" spinCount="100000" sheet="1" objects="1" scenarios="1" selectLockedCells="1"/>
  <mergeCells count="198">
    <mergeCell ref="B442:L442"/>
    <mergeCell ref="B444:L445"/>
    <mergeCell ref="B447:L454"/>
    <mergeCell ref="B430:L431"/>
    <mergeCell ref="B220:D224"/>
    <mergeCell ref="E220:L224"/>
    <mergeCell ref="B228:L229"/>
    <mergeCell ref="B242:L243"/>
    <mergeCell ref="B269:L270"/>
    <mergeCell ref="B311:L312"/>
    <mergeCell ref="B340:L341"/>
    <mergeCell ref="B354:L355"/>
    <mergeCell ref="B368:L369"/>
    <mergeCell ref="B314:L321"/>
    <mergeCell ref="B329:L336"/>
    <mergeCell ref="B343:L350"/>
    <mergeCell ref="B357:L364"/>
    <mergeCell ref="B382:L382"/>
    <mergeCell ref="B327:L327"/>
    <mergeCell ref="B231:L238"/>
    <mergeCell ref="B366:L366"/>
    <mergeCell ref="B245:L252"/>
    <mergeCell ref="B258:L265"/>
    <mergeCell ref="B371:L378"/>
    <mergeCell ref="B455:L455"/>
    <mergeCell ref="B401:L401"/>
    <mergeCell ref="B159:L159"/>
    <mergeCell ref="B208:L208"/>
    <mergeCell ref="B193:L193"/>
    <mergeCell ref="B272:C272"/>
    <mergeCell ref="B285:L285"/>
    <mergeCell ref="B298:L298"/>
    <mergeCell ref="B180:L180"/>
    <mergeCell ref="B256:L256"/>
    <mergeCell ref="B210:D214"/>
    <mergeCell ref="E210:L214"/>
    <mergeCell ref="B215:D219"/>
    <mergeCell ref="E215:L219"/>
    <mergeCell ref="B226:L226"/>
    <mergeCell ref="B240:L240"/>
    <mergeCell ref="B254:L254"/>
    <mergeCell ref="B267:L267"/>
    <mergeCell ref="B296:L296"/>
    <mergeCell ref="B309:L309"/>
    <mergeCell ref="B325:L325"/>
    <mergeCell ref="D176:L176"/>
    <mergeCell ref="B172:L172"/>
    <mergeCell ref="B300:L307"/>
    <mergeCell ref="B56:L56"/>
    <mergeCell ref="C45:D46"/>
    <mergeCell ref="E45:F46"/>
    <mergeCell ref="G45:I46"/>
    <mergeCell ref="J45:L46"/>
    <mergeCell ref="C47:D48"/>
    <mergeCell ref="E47:F48"/>
    <mergeCell ref="G47:I48"/>
    <mergeCell ref="E43:F44"/>
    <mergeCell ref="G43:I44"/>
    <mergeCell ref="J43:L44"/>
    <mergeCell ref="B47:B48"/>
    <mergeCell ref="B49:B50"/>
    <mergeCell ref="B51:B52"/>
    <mergeCell ref="J47:L48"/>
    <mergeCell ref="C49:D50"/>
    <mergeCell ref="E49:F50"/>
    <mergeCell ref="J49:L50"/>
    <mergeCell ref="C51:D52"/>
    <mergeCell ref="E51:F52"/>
    <mergeCell ref="G51:I52"/>
    <mergeCell ref="J51:L52"/>
    <mergeCell ref="C53:D54"/>
    <mergeCell ref="E53:F54"/>
    <mergeCell ref="B4:L4"/>
    <mergeCell ref="B5:L5"/>
    <mergeCell ref="B6:L6"/>
    <mergeCell ref="J33:L34"/>
    <mergeCell ref="B12:L12"/>
    <mergeCell ref="B8:L8"/>
    <mergeCell ref="B9:L9"/>
    <mergeCell ref="B10:L10"/>
    <mergeCell ref="B15:L15"/>
    <mergeCell ref="C33:D34"/>
    <mergeCell ref="E33:F34"/>
    <mergeCell ref="G33:I34"/>
    <mergeCell ref="B17:L24"/>
    <mergeCell ref="B13:L13"/>
    <mergeCell ref="B26:L26"/>
    <mergeCell ref="B58:L58"/>
    <mergeCell ref="B71:L71"/>
    <mergeCell ref="B95:L95"/>
    <mergeCell ref="B28:L31"/>
    <mergeCell ref="G53:I54"/>
    <mergeCell ref="J53:L54"/>
    <mergeCell ref="C39:D40"/>
    <mergeCell ref="E39:F40"/>
    <mergeCell ref="G39:I40"/>
    <mergeCell ref="J39:L40"/>
    <mergeCell ref="C41:D42"/>
    <mergeCell ref="B35:B36"/>
    <mergeCell ref="C35:D36"/>
    <mergeCell ref="E35:F36"/>
    <mergeCell ref="G35:I36"/>
    <mergeCell ref="J35:L36"/>
    <mergeCell ref="C37:D38"/>
    <mergeCell ref="E37:F38"/>
    <mergeCell ref="G37:I38"/>
    <mergeCell ref="J37:L38"/>
    <mergeCell ref="B37:B38"/>
    <mergeCell ref="B39:B40"/>
    <mergeCell ref="B41:B42"/>
    <mergeCell ref="B43:B44"/>
    <mergeCell ref="E41:F42"/>
    <mergeCell ref="G41:I42"/>
    <mergeCell ref="J41:L42"/>
    <mergeCell ref="C43:D44"/>
    <mergeCell ref="B274:L281"/>
    <mergeCell ref="B287:L294"/>
    <mergeCell ref="I136:J145"/>
    <mergeCell ref="K136:L145"/>
    <mergeCell ref="B146:B155"/>
    <mergeCell ref="C146:D155"/>
    <mergeCell ref="E146:F155"/>
    <mergeCell ref="G146:H155"/>
    <mergeCell ref="I146:J155"/>
    <mergeCell ref="K146:L155"/>
    <mergeCell ref="B283:L283"/>
    <mergeCell ref="B170:L170"/>
    <mergeCell ref="B174:C174"/>
    <mergeCell ref="B175:C175"/>
    <mergeCell ref="B176:C176"/>
    <mergeCell ref="D174:L174"/>
    <mergeCell ref="D175:L175"/>
    <mergeCell ref="B53:B54"/>
    <mergeCell ref="B60:L67"/>
    <mergeCell ref="G49:I50"/>
    <mergeCell ref="B45:B46"/>
    <mergeCell ref="B433:L440"/>
    <mergeCell ref="B106:B115"/>
    <mergeCell ref="C106:D115"/>
    <mergeCell ref="E106:F115"/>
    <mergeCell ref="G106:H115"/>
    <mergeCell ref="I106:J115"/>
    <mergeCell ref="K106:L115"/>
    <mergeCell ref="B116:B125"/>
    <mergeCell ref="C116:D125"/>
    <mergeCell ref="E116:F125"/>
    <mergeCell ref="G116:H125"/>
    <mergeCell ref="I116:J125"/>
    <mergeCell ref="K116:L125"/>
    <mergeCell ref="B126:B135"/>
    <mergeCell ref="C126:D135"/>
    <mergeCell ref="E126:F135"/>
    <mergeCell ref="B428:L428"/>
    <mergeCell ref="G126:H135"/>
    <mergeCell ref="I126:J135"/>
    <mergeCell ref="K126:L135"/>
    <mergeCell ref="B136:B145"/>
    <mergeCell ref="C136:D145"/>
    <mergeCell ref="E136:F145"/>
    <mergeCell ref="B69:L69"/>
    <mergeCell ref="B82:L82"/>
    <mergeCell ref="B96:L96"/>
    <mergeCell ref="B157:L157"/>
    <mergeCell ref="B178:L178"/>
    <mergeCell ref="B191:L191"/>
    <mergeCell ref="B206:L206"/>
    <mergeCell ref="B73:L80"/>
    <mergeCell ref="B161:L168"/>
    <mergeCell ref="B182:L189"/>
    <mergeCell ref="B195:L202"/>
    <mergeCell ref="G136:H145"/>
    <mergeCell ref="B98:L98"/>
    <mergeCell ref="C100:D105"/>
    <mergeCell ref="E100:F105"/>
    <mergeCell ref="G100:H105"/>
    <mergeCell ref="I100:J105"/>
    <mergeCell ref="K100:L105"/>
    <mergeCell ref="B205:L205"/>
    <mergeCell ref="B84:L84"/>
    <mergeCell ref="B85:L85"/>
    <mergeCell ref="B86:C86"/>
    <mergeCell ref="B88:L88"/>
    <mergeCell ref="B89:L92"/>
    <mergeCell ref="B324:L324"/>
    <mergeCell ref="B413:L413"/>
    <mergeCell ref="B390:L397"/>
    <mergeCell ref="B403:L410"/>
    <mergeCell ref="B419:L426"/>
    <mergeCell ref="B416:L417"/>
    <mergeCell ref="B388:L388"/>
    <mergeCell ref="B338:L338"/>
    <mergeCell ref="B352:L352"/>
    <mergeCell ref="B380:L380"/>
    <mergeCell ref="B399:L399"/>
    <mergeCell ref="B414:L414"/>
    <mergeCell ref="B384:G384"/>
    <mergeCell ref="B385:G385"/>
    <mergeCell ref="B386:G386"/>
  </mergeCells>
  <dataValidations disablePrompts="1" count="4">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73 B161:B163 B182:B184 B195 B17 B231 B233:B234 B258 B274 B287 B300 B314 B329 B343 B357 B371 B390 B403 B419 B433 B435 B449 B60 B447 B197:B198 B245:B247 B261:B262 B276:B277 B290:B291 B303:B304 B317:B318 B331:B332 B345:B346 B359 B373 B392 B405 B421" xr:uid="{12A675B1-CBA0-4994-8490-3D96E188227D}">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72" xr:uid="{51751D26-3857-4105-8CD2-B60852B0348B}">
      <formula1>0</formula1>
    </dataValidation>
    <dataValidation allowBlank="1" showInputMessage="1" showErrorMessage="1" sqref="C106:L155 D174:L176 E210:L224" xr:uid="{8A842A76-AF5B-4A75-951F-E39EA499330C}"/>
    <dataValidation type="list" allowBlank="1" showInputMessage="1" showErrorMessage="1" sqref="H384:H386" xr:uid="{3D3F2DCC-2D7D-4040-B21C-C1A2394FA711}">
      <formula1>"X"</formula1>
    </dataValidation>
  </dataValidations>
  <printOptions horizontalCentered="1"/>
  <pageMargins left="0.25" right="0.25" top="0.75" bottom="0.75" header="0.3" footer="0.3"/>
  <pageSetup scale="63" fitToHeight="0" orientation="portrait" r:id="rId1"/>
  <headerFooter>
    <oddFooter>&amp;L&amp;A</oddFooter>
  </headerFooter>
  <rowBreaks count="7" manualBreakCount="7">
    <brk id="68" min="1" max="11" man="1"/>
    <brk id="135" min="1" max="11" man="1"/>
    <brk id="204" min="1" max="11" man="1"/>
    <brk id="266" min="1" max="11" man="1"/>
    <brk id="323" min="1" max="11" man="1"/>
    <brk id="379" min="1" max="11" man="1"/>
    <brk id="441" min="1" max="11" man="1"/>
  </rowBreaks>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7BF4CD1-21FE-465C-9B11-0AC2603C5337}">
          <x14:formula1>
            <xm:f>Variables!$D$54:$D$55</xm:f>
          </x14:formula1>
          <xm:sqref>D86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7109C-BE80-4560-8E46-E3B3B996FF06}">
  <sheetPr>
    <tabColor rgb="FF00B0F0"/>
    <pageSetUpPr fitToPage="1"/>
  </sheetPr>
  <dimension ref="A1:AZ60"/>
  <sheetViews>
    <sheetView showGridLines="0" zoomScaleNormal="100" workbookViewId="0"/>
  </sheetViews>
  <sheetFormatPr defaultColWidth="8.5703125" defaultRowHeight="14.25" x14ac:dyDescent="0.25"/>
  <cols>
    <col min="1" max="1" width="2.42578125" style="258" customWidth="1"/>
    <col min="2" max="12" width="14.5703125" style="260" customWidth="1"/>
    <col min="13" max="14" width="14.5703125" style="253" customWidth="1"/>
    <col min="15" max="16" width="14.5703125" style="254" hidden="1" customWidth="1"/>
    <col min="17" max="17" width="8.5703125" style="14"/>
    <col min="18" max="52" width="8.5703125" style="253"/>
    <col min="53" max="16384" width="8.5703125" style="23"/>
  </cols>
  <sheetData>
    <row r="1" spans="1:52" s="246" customFormat="1" x14ac:dyDescent="0.25">
      <c r="A1" s="245"/>
      <c r="C1" s="247"/>
      <c r="O1" s="2" t="s">
        <v>720</v>
      </c>
      <c r="P1" s="2" t="s">
        <v>720</v>
      </c>
      <c r="Q1" s="8"/>
    </row>
    <row r="2" spans="1:52" s="246" customFormat="1" x14ac:dyDescent="0.25">
      <c r="A2" s="245"/>
      <c r="B2" s="247" t="s">
        <v>0</v>
      </c>
      <c r="C2" s="247"/>
      <c r="O2" s="3" t="s">
        <v>166</v>
      </c>
      <c r="P2" s="3" t="s">
        <v>167</v>
      </c>
      <c r="Q2" s="8"/>
    </row>
    <row r="3" spans="1:52" s="246" customFormat="1" x14ac:dyDescent="0.25">
      <c r="A3" s="245"/>
      <c r="B3" s="247"/>
      <c r="C3" s="247"/>
      <c r="O3" s="248"/>
      <c r="P3" s="248"/>
      <c r="Q3" s="8"/>
    </row>
    <row r="4" spans="1:52" s="246" customFormat="1" x14ac:dyDescent="0.25">
      <c r="A4" s="245"/>
      <c r="B4" s="653" t="str">
        <f>Info!B4</f>
        <v>PRODUCERS' QUESTIONNAIRE</v>
      </c>
      <c r="C4" s="653"/>
      <c r="D4" s="653"/>
      <c r="E4" s="653"/>
      <c r="F4" s="653"/>
      <c r="G4" s="653"/>
      <c r="H4" s="653"/>
      <c r="I4" s="653"/>
      <c r="J4" s="653"/>
      <c r="K4" s="653"/>
      <c r="L4" s="653"/>
      <c r="O4" s="248"/>
      <c r="P4" s="248"/>
      <c r="Q4" s="8"/>
    </row>
    <row r="5" spans="1:52" s="246" customFormat="1" x14ac:dyDescent="0.25">
      <c r="A5" s="245"/>
      <c r="B5" s="653" t="str">
        <f>Info!B5</f>
        <v>NQ-2026-004</v>
      </c>
      <c r="C5" s="653"/>
      <c r="D5" s="653"/>
      <c r="E5" s="653"/>
      <c r="F5" s="653"/>
      <c r="G5" s="653"/>
      <c r="H5" s="653"/>
      <c r="I5" s="653"/>
      <c r="J5" s="653"/>
      <c r="K5" s="653"/>
      <c r="L5" s="653"/>
      <c r="O5" s="248"/>
      <c r="P5" s="248"/>
      <c r="Q5" s="8"/>
    </row>
    <row r="6" spans="1:52" s="246" customFormat="1" x14ac:dyDescent="0.25">
      <c r="A6" s="245"/>
      <c r="B6" s="653" t="str">
        <f>Info!B6</f>
        <v>DECORATIVE AND OTHER NON-STRUCTURAL PLYWOOD</v>
      </c>
      <c r="C6" s="653"/>
      <c r="D6" s="653"/>
      <c r="E6" s="653"/>
      <c r="F6" s="653"/>
      <c r="G6" s="653"/>
      <c r="H6" s="653"/>
      <c r="I6" s="653"/>
      <c r="J6" s="653"/>
      <c r="K6" s="653"/>
      <c r="L6" s="653"/>
      <c r="O6" s="248"/>
      <c r="P6" s="248"/>
      <c r="Q6" s="8"/>
    </row>
    <row r="7" spans="1:52" s="246" customFormat="1" x14ac:dyDescent="0.25">
      <c r="A7" s="245"/>
      <c r="B7" s="249"/>
      <c r="C7" s="250"/>
      <c r="D7" s="250"/>
      <c r="E7" s="250"/>
      <c r="F7" s="250"/>
      <c r="G7" s="250"/>
      <c r="H7" s="250"/>
      <c r="I7" s="250"/>
      <c r="J7" s="250"/>
      <c r="K7" s="250"/>
      <c r="L7" s="250"/>
      <c r="O7" s="248"/>
      <c r="P7" s="248"/>
      <c r="Q7" s="8"/>
    </row>
    <row r="8" spans="1:52" s="246" customFormat="1" ht="14.25" customHeight="1" x14ac:dyDescent="0.25">
      <c r="A8" s="245"/>
      <c r="B8" s="765" t="str">
        <f>Public!B8</f>
        <v>The following questions refer to the goods as defined in the product description on the Intro tab.</v>
      </c>
      <c r="C8" s="765"/>
      <c r="D8" s="765"/>
      <c r="E8" s="765"/>
      <c r="F8" s="765"/>
      <c r="G8" s="765"/>
      <c r="H8" s="765"/>
      <c r="I8" s="765"/>
      <c r="J8" s="765"/>
      <c r="K8" s="765"/>
      <c r="L8" s="765"/>
      <c r="O8" s="248"/>
      <c r="P8" s="248"/>
      <c r="Q8" s="8"/>
    </row>
    <row r="9" spans="1:52" s="246" customFormat="1" x14ac:dyDescent="0.25">
      <c r="A9" s="251"/>
      <c r="O9" s="248"/>
      <c r="P9" s="248"/>
      <c r="Q9" s="8"/>
    </row>
    <row r="10" spans="1:52" x14ac:dyDescent="0.25">
      <c r="A10" s="252"/>
      <c r="B10" s="766" t="str">
        <f>IF(Intro!$G$21="English",O10,P10)</f>
        <v>GRADES</v>
      </c>
      <c r="C10" s="766"/>
      <c r="D10" s="766"/>
      <c r="E10" s="766"/>
      <c r="F10" s="766"/>
      <c r="G10" s="766"/>
      <c r="H10" s="766"/>
      <c r="I10" s="766"/>
      <c r="J10" s="766"/>
      <c r="K10" s="766"/>
      <c r="L10" s="767"/>
      <c r="O10" s="254" t="s">
        <v>717</v>
      </c>
      <c r="P10" s="254" t="s">
        <v>863</v>
      </c>
    </row>
    <row r="11" spans="1:52" s="257" customFormat="1" x14ac:dyDescent="0.25">
      <c r="A11" s="252"/>
      <c r="B11" s="742" t="s">
        <v>20</v>
      </c>
      <c r="C11" s="743"/>
      <c r="D11" s="743"/>
      <c r="E11" s="743"/>
      <c r="F11" s="743"/>
      <c r="G11" s="743"/>
      <c r="H11" s="743"/>
      <c r="I11" s="743"/>
      <c r="J11" s="743"/>
      <c r="K11" s="743"/>
      <c r="L11" s="764"/>
      <c r="M11" s="255"/>
      <c r="N11" s="255"/>
      <c r="O11" s="254"/>
      <c r="P11" s="254"/>
      <c r="Q11" s="256"/>
      <c r="R11" s="255"/>
      <c r="S11" s="255"/>
      <c r="T11" s="255"/>
      <c r="U11" s="255"/>
      <c r="V11" s="255"/>
      <c r="W11" s="255"/>
      <c r="X11" s="255"/>
      <c r="Y11" s="255"/>
      <c r="Z11" s="255"/>
      <c r="AA11" s="255"/>
      <c r="AB11" s="255"/>
      <c r="AC11" s="255"/>
      <c r="AD11" s="255"/>
      <c r="AE11" s="255"/>
      <c r="AF11" s="255"/>
      <c r="AG11" s="255"/>
      <c r="AH11" s="255"/>
      <c r="AI11" s="255"/>
      <c r="AJ11" s="255"/>
      <c r="AK11" s="255"/>
      <c r="AL11" s="255"/>
      <c r="AM11" s="255"/>
      <c r="AN11" s="255"/>
      <c r="AO11" s="255"/>
      <c r="AP11" s="255"/>
      <c r="AQ11" s="255"/>
      <c r="AR11" s="255"/>
      <c r="AS11" s="255"/>
      <c r="AT11" s="255"/>
      <c r="AU11" s="255"/>
      <c r="AV11" s="255"/>
      <c r="AW11" s="255"/>
      <c r="AX11" s="255"/>
      <c r="AY11" s="255"/>
      <c r="AZ11" s="255"/>
    </row>
    <row r="12" spans="1:52" s="257" customFormat="1" x14ac:dyDescent="0.25">
      <c r="A12" s="252"/>
      <c r="B12" s="768" t="str">
        <f>IF(Intro!$G$21="English",O12,P12)</f>
        <v xml:space="preserve">Provide the grades produced by your firm in Canada between January 1, 2023 and March 31, 2026. </v>
      </c>
      <c r="C12" s="769"/>
      <c r="D12" s="769"/>
      <c r="E12" s="769"/>
      <c r="F12" s="769"/>
      <c r="G12" s="769"/>
      <c r="H12" s="769"/>
      <c r="I12" s="769"/>
      <c r="J12" s="769"/>
      <c r="K12" s="769"/>
      <c r="L12" s="770"/>
      <c r="M12" s="255"/>
      <c r="N12" s="255"/>
      <c r="O12" s="254" t="str">
        <f>"Provide the grades produced by your firm in Canada between January 1, "&amp;Variables!B6&amp;" and "&amp;Variables!B7&amp;". "</f>
        <v xml:space="preserve">Provide the grades produced by your firm in Canada between January 1, 2023 and March 31, 2026. </v>
      </c>
      <c r="P12" s="254" t="str">
        <f>"Indiquez les nuances fabriquées au Canada par votre entreprise du 1er janvier "&amp;Variables!C6&amp;" au "&amp;Variables!C7&amp;" "&amp;Variables!C8&amp;"."</f>
        <v>Indiquez les nuances fabriquées au Canada par votre entreprise du 1er janvier 2023 au 31 mars 2026 2026.</v>
      </c>
      <c r="Q12" s="256"/>
      <c r="R12" s="255"/>
      <c r="S12" s="255"/>
      <c r="T12" s="255"/>
      <c r="U12" s="255"/>
      <c r="V12" s="255"/>
      <c r="W12" s="255"/>
      <c r="X12" s="255"/>
      <c r="Y12" s="255"/>
      <c r="Z12" s="255"/>
      <c r="AA12" s="255"/>
      <c r="AB12" s="255"/>
      <c r="AC12" s="255"/>
      <c r="AD12" s="255"/>
      <c r="AE12" s="255"/>
      <c r="AF12" s="255"/>
      <c r="AG12" s="255"/>
      <c r="AH12" s="255"/>
      <c r="AI12" s="255"/>
      <c r="AJ12" s="255"/>
      <c r="AK12" s="255"/>
      <c r="AL12" s="255"/>
      <c r="AM12" s="255"/>
      <c r="AN12" s="255"/>
      <c r="AO12" s="255"/>
      <c r="AP12" s="255"/>
      <c r="AQ12" s="255"/>
      <c r="AR12" s="255"/>
      <c r="AS12" s="255"/>
      <c r="AT12" s="255"/>
      <c r="AU12" s="255"/>
      <c r="AV12" s="255"/>
      <c r="AW12" s="255"/>
      <c r="AX12" s="255"/>
      <c r="AY12" s="255"/>
      <c r="AZ12" s="255"/>
    </row>
    <row r="13" spans="1:52" x14ac:dyDescent="0.25">
      <c r="B13" s="259"/>
      <c r="L13" s="261"/>
    </row>
    <row r="14" spans="1:52" ht="14.25" customHeight="1" x14ac:dyDescent="0.25">
      <c r="B14" s="772" t="str">
        <f>IF(Intro!$G$21="English",O14,P14)</f>
        <v>Face grade</v>
      </c>
      <c r="C14" s="775" t="str">
        <f>IF(Intro!$G$21="English",O15,P15)</f>
        <v>Face - wood species</v>
      </c>
      <c r="D14" s="775" t="str">
        <f>IF(Intro!$G$21="English",O16,P16)</f>
        <v>Coating</v>
      </c>
      <c r="E14" s="775" t="str">
        <f>IF(Intro!$G$21="English",O17,P17)</f>
        <v>Cut</v>
      </c>
      <c r="F14" s="771" t="str">
        <f>IF(Intro!$G$21="English",O18,P18)</f>
        <v>Core</v>
      </c>
      <c r="G14" s="781" t="str">
        <f>IF(Intro!$G$21="English",O19,P19)</f>
        <v>Panel thickness</v>
      </c>
      <c r="H14" s="781" t="str">
        <f>IF(Intro!$G$21="English",O22,P22)</f>
        <v>Thickness of face veneer</v>
      </c>
      <c r="I14" s="781" t="str">
        <f>IF(Intro!$G$21="English",O23,P23)</f>
        <v>Thickness of back veneer</v>
      </c>
      <c r="J14" s="781" t="str">
        <f>IF(Intro!$G$21="English",O20,P20)</f>
        <v>Panel Sizes</v>
      </c>
      <c r="K14" s="782"/>
      <c r="L14" s="778" t="str">
        <f>IF(Intro!$G$21="English",O21,P21)</f>
        <v>Sold in Canada or exported?</v>
      </c>
      <c r="O14" s="8" t="s">
        <v>843</v>
      </c>
      <c r="P14" s="8" t="s">
        <v>844</v>
      </c>
    </row>
    <row r="15" spans="1:52" x14ac:dyDescent="0.25">
      <c r="B15" s="773"/>
      <c r="C15" s="776"/>
      <c r="D15" s="776"/>
      <c r="E15" s="776"/>
      <c r="F15" s="771"/>
      <c r="G15" s="783"/>
      <c r="H15" s="783"/>
      <c r="I15" s="783"/>
      <c r="J15" s="783"/>
      <c r="K15" s="784"/>
      <c r="L15" s="779"/>
      <c r="O15" s="8" t="s">
        <v>845</v>
      </c>
      <c r="P15" s="8" t="s">
        <v>846</v>
      </c>
    </row>
    <row r="16" spans="1:52" x14ac:dyDescent="0.25">
      <c r="B16" s="774"/>
      <c r="C16" s="777"/>
      <c r="D16" s="777"/>
      <c r="E16" s="777"/>
      <c r="F16" s="771"/>
      <c r="G16" s="785"/>
      <c r="H16" s="785"/>
      <c r="I16" s="785"/>
      <c r="J16" s="785"/>
      <c r="K16" s="786"/>
      <c r="L16" s="780"/>
      <c r="O16" s="8" t="s">
        <v>847</v>
      </c>
      <c r="P16" s="8" t="s">
        <v>848</v>
      </c>
    </row>
    <row r="17" spans="1:17" x14ac:dyDescent="0.25">
      <c r="B17" s="758"/>
      <c r="C17" s="761"/>
      <c r="D17" s="761"/>
      <c r="E17" s="761"/>
      <c r="F17" s="749"/>
      <c r="G17" s="746"/>
      <c r="H17" s="749"/>
      <c r="I17" s="746"/>
      <c r="J17" s="746"/>
      <c r="K17" s="752"/>
      <c r="L17" s="755"/>
      <c r="O17" s="23" t="s">
        <v>849</v>
      </c>
      <c r="P17" s="23" t="s">
        <v>850</v>
      </c>
    </row>
    <row r="18" spans="1:17" x14ac:dyDescent="0.25">
      <c r="B18" s="759"/>
      <c r="C18" s="762"/>
      <c r="D18" s="762"/>
      <c r="E18" s="762"/>
      <c r="F18" s="750"/>
      <c r="G18" s="747"/>
      <c r="H18" s="750"/>
      <c r="I18" s="747"/>
      <c r="J18" s="747"/>
      <c r="K18" s="753"/>
      <c r="L18" s="756"/>
      <c r="O18" s="296" t="s">
        <v>851</v>
      </c>
      <c r="P18" s="253" t="s">
        <v>852</v>
      </c>
    </row>
    <row r="19" spans="1:17" x14ac:dyDescent="0.25">
      <c r="B19" s="759"/>
      <c r="C19" s="762"/>
      <c r="D19" s="762"/>
      <c r="E19" s="762"/>
      <c r="F19" s="750"/>
      <c r="G19" s="747"/>
      <c r="H19" s="750"/>
      <c r="I19" s="747"/>
      <c r="J19" s="747"/>
      <c r="K19" s="753"/>
      <c r="L19" s="756"/>
      <c r="O19" s="8" t="s">
        <v>853</v>
      </c>
      <c r="P19" s="8" t="s">
        <v>870</v>
      </c>
    </row>
    <row r="20" spans="1:17" x14ac:dyDescent="0.25">
      <c r="B20" s="760"/>
      <c r="C20" s="763"/>
      <c r="D20" s="763"/>
      <c r="E20" s="763"/>
      <c r="F20" s="751"/>
      <c r="G20" s="748"/>
      <c r="H20" s="751"/>
      <c r="I20" s="748"/>
      <c r="J20" s="748"/>
      <c r="K20" s="754"/>
      <c r="L20" s="757"/>
      <c r="O20" s="8" t="s">
        <v>854</v>
      </c>
      <c r="P20" s="8" t="s">
        <v>869</v>
      </c>
    </row>
    <row r="21" spans="1:17" x14ac:dyDescent="0.25">
      <c r="B21" s="758"/>
      <c r="C21" s="761"/>
      <c r="D21" s="761"/>
      <c r="E21" s="761"/>
      <c r="F21" s="749"/>
      <c r="G21" s="746"/>
      <c r="H21" s="749"/>
      <c r="I21" s="746"/>
      <c r="J21" s="746"/>
      <c r="K21" s="752"/>
      <c r="L21" s="755"/>
      <c r="O21" s="8" t="s">
        <v>855</v>
      </c>
      <c r="P21" s="8" t="s">
        <v>856</v>
      </c>
    </row>
    <row r="22" spans="1:17" x14ac:dyDescent="0.25">
      <c r="B22" s="759"/>
      <c r="C22" s="762"/>
      <c r="D22" s="762"/>
      <c r="E22" s="762"/>
      <c r="F22" s="750"/>
      <c r="G22" s="747"/>
      <c r="H22" s="750"/>
      <c r="I22" s="747"/>
      <c r="J22" s="747"/>
      <c r="K22" s="753"/>
      <c r="L22" s="756"/>
      <c r="O22" s="254" t="s">
        <v>1014</v>
      </c>
      <c r="P22" s="254" t="s">
        <v>1059</v>
      </c>
    </row>
    <row r="23" spans="1:17" ht="15" customHeight="1" x14ac:dyDescent="0.25">
      <c r="B23" s="759"/>
      <c r="C23" s="762"/>
      <c r="D23" s="762"/>
      <c r="E23" s="762"/>
      <c r="F23" s="750"/>
      <c r="G23" s="747"/>
      <c r="H23" s="750"/>
      <c r="I23" s="747"/>
      <c r="J23" s="747"/>
      <c r="K23" s="753"/>
      <c r="L23" s="756"/>
      <c r="O23" s="262" t="s">
        <v>1015</v>
      </c>
      <c r="P23" s="254" t="s">
        <v>1026</v>
      </c>
    </row>
    <row r="24" spans="1:17" x14ac:dyDescent="0.25">
      <c r="B24" s="760"/>
      <c r="C24" s="763"/>
      <c r="D24" s="763"/>
      <c r="E24" s="763"/>
      <c r="F24" s="751"/>
      <c r="G24" s="748"/>
      <c r="H24" s="751"/>
      <c r="I24" s="748"/>
      <c r="J24" s="748"/>
      <c r="K24" s="754"/>
      <c r="L24" s="757"/>
    </row>
    <row r="25" spans="1:17" x14ac:dyDescent="0.25">
      <c r="B25" s="758"/>
      <c r="C25" s="761"/>
      <c r="D25" s="761"/>
      <c r="E25" s="761"/>
      <c r="F25" s="749"/>
      <c r="G25" s="746"/>
      <c r="H25" s="749"/>
      <c r="I25" s="746"/>
      <c r="J25" s="746"/>
      <c r="K25" s="752"/>
      <c r="L25" s="755"/>
    </row>
    <row r="26" spans="1:17" s="253" customFormat="1" x14ac:dyDescent="0.25">
      <c r="A26" s="258"/>
      <c r="B26" s="759"/>
      <c r="C26" s="762"/>
      <c r="D26" s="762"/>
      <c r="E26" s="762"/>
      <c r="F26" s="750"/>
      <c r="G26" s="747"/>
      <c r="H26" s="750"/>
      <c r="I26" s="747"/>
      <c r="J26" s="747"/>
      <c r="K26" s="753"/>
      <c r="L26" s="756"/>
      <c r="O26" s="262"/>
      <c r="P26" s="262"/>
      <c r="Q26" s="14"/>
    </row>
    <row r="27" spans="1:17" s="253" customFormat="1" x14ac:dyDescent="0.25">
      <c r="A27" s="258"/>
      <c r="B27" s="759"/>
      <c r="C27" s="762"/>
      <c r="D27" s="762"/>
      <c r="E27" s="762"/>
      <c r="F27" s="750"/>
      <c r="G27" s="747"/>
      <c r="H27" s="750"/>
      <c r="I27" s="747"/>
      <c r="J27" s="747"/>
      <c r="K27" s="753"/>
      <c r="L27" s="756"/>
      <c r="O27" s="254"/>
      <c r="P27" s="254"/>
      <c r="Q27" s="14"/>
    </row>
    <row r="28" spans="1:17" s="253" customFormat="1" x14ac:dyDescent="0.25">
      <c r="A28" s="258"/>
      <c r="B28" s="760"/>
      <c r="C28" s="763"/>
      <c r="D28" s="763"/>
      <c r="E28" s="763"/>
      <c r="F28" s="751"/>
      <c r="G28" s="748"/>
      <c r="H28" s="751"/>
      <c r="I28" s="748"/>
      <c r="J28" s="748"/>
      <c r="K28" s="754"/>
      <c r="L28" s="757"/>
      <c r="O28" s="254"/>
      <c r="P28" s="254"/>
      <c r="Q28" s="14"/>
    </row>
    <row r="29" spans="1:17" s="253" customFormat="1" x14ac:dyDescent="0.25">
      <c r="A29" s="258"/>
      <c r="B29" s="758"/>
      <c r="C29" s="761"/>
      <c r="D29" s="761"/>
      <c r="E29" s="761"/>
      <c r="F29" s="749"/>
      <c r="G29" s="746"/>
      <c r="H29" s="749"/>
      <c r="I29" s="746"/>
      <c r="J29" s="746"/>
      <c r="K29" s="752"/>
      <c r="L29" s="755"/>
      <c r="O29" s="254"/>
      <c r="P29" s="254"/>
      <c r="Q29" s="14"/>
    </row>
    <row r="30" spans="1:17" s="253" customFormat="1" x14ac:dyDescent="0.25">
      <c r="A30" s="258"/>
      <c r="B30" s="759"/>
      <c r="C30" s="762"/>
      <c r="D30" s="762"/>
      <c r="E30" s="762"/>
      <c r="F30" s="750"/>
      <c r="G30" s="747"/>
      <c r="H30" s="750"/>
      <c r="I30" s="747"/>
      <c r="J30" s="747"/>
      <c r="K30" s="753"/>
      <c r="L30" s="756"/>
      <c r="O30" s="254"/>
      <c r="P30" s="254"/>
      <c r="Q30" s="14"/>
    </row>
    <row r="31" spans="1:17" s="253" customFormat="1" x14ac:dyDescent="0.25">
      <c r="A31" s="258"/>
      <c r="B31" s="759"/>
      <c r="C31" s="762"/>
      <c r="D31" s="762"/>
      <c r="E31" s="762"/>
      <c r="F31" s="750"/>
      <c r="G31" s="747"/>
      <c r="H31" s="750"/>
      <c r="I31" s="747"/>
      <c r="J31" s="747"/>
      <c r="K31" s="753"/>
      <c r="L31" s="756"/>
      <c r="O31" s="254"/>
      <c r="P31" s="254"/>
      <c r="Q31" s="14"/>
    </row>
    <row r="32" spans="1:17" s="253" customFormat="1" x14ac:dyDescent="0.25">
      <c r="A32" s="258"/>
      <c r="B32" s="760"/>
      <c r="C32" s="763"/>
      <c r="D32" s="763"/>
      <c r="E32" s="763"/>
      <c r="F32" s="751"/>
      <c r="G32" s="748"/>
      <c r="H32" s="751"/>
      <c r="I32" s="748"/>
      <c r="J32" s="748"/>
      <c r="K32" s="754"/>
      <c r="L32" s="757"/>
      <c r="O32" s="254"/>
      <c r="P32" s="254"/>
      <c r="Q32" s="14"/>
    </row>
    <row r="33" spans="1:17" s="253" customFormat="1" x14ac:dyDescent="0.25">
      <c r="A33" s="258"/>
      <c r="B33" s="758"/>
      <c r="C33" s="761"/>
      <c r="D33" s="761"/>
      <c r="E33" s="761"/>
      <c r="F33" s="749"/>
      <c r="G33" s="746"/>
      <c r="H33" s="749"/>
      <c r="I33" s="746"/>
      <c r="J33" s="746"/>
      <c r="K33" s="752"/>
      <c r="L33" s="755"/>
      <c r="O33" s="254"/>
      <c r="P33" s="254"/>
      <c r="Q33" s="14"/>
    </row>
    <row r="34" spans="1:17" s="253" customFormat="1" x14ac:dyDescent="0.25">
      <c r="A34" s="258"/>
      <c r="B34" s="759"/>
      <c r="C34" s="762"/>
      <c r="D34" s="762"/>
      <c r="E34" s="762"/>
      <c r="F34" s="750"/>
      <c r="G34" s="747"/>
      <c r="H34" s="750"/>
      <c r="I34" s="747"/>
      <c r="J34" s="747"/>
      <c r="K34" s="753"/>
      <c r="L34" s="756"/>
      <c r="O34" s="254"/>
      <c r="P34" s="254"/>
      <c r="Q34" s="14"/>
    </row>
    <row r="35" spans="1:17" s="253" customFormat="1" x14ac:dyDescent="0.25">
      <c r="A35" s="258"/>
      <c r="B35" s="759"/>
      <c r="C35" s="762"/>
      <c r="D35" s="762"/>
      <c r="E35" s="762"/>
      <c r="F35" s="750"/>
      <c r="G35" s="747"/>
      <c r="H35" s="750"/>
      <c r="I35" s="747"/>
      <c r="J35" s="747"/>
      <c r="K35" s="753"/>
      <c r="L35" s="756"/>
      <c r="O35" s="254"/>
      <c r="P35" s="254"/>
      <c r="Q35" s="14"/>
    </row>
    <row r="36" spans="1:17" s="253" customFormat="1" x14ac:dyDescent="0.25">
      <c r="A36" s="258"/>
      <c r="B36" s="760"/>
      <c r="C36" s="763"/>
      <c r="D36" s="763"/>
      <c r="E36" s="763"/>
      <c r="F36" s="751"/>
      <c r="G36" s="748"/>
      <c r="H36" s="751"/>
      <c r="I36" s="748"/>
      <c r="J36" s="748"/>
      <c r="K36" s="754"/>
      <c r="L36" s="757"/>
      <c r="O36" s="254"/>
      <c r="P36" s="254"/>
      <c r="Q36" s="14"/>
    </row>
    <row r="37" spans="1:17" s="253" customFormat="1" x14ac:dyDescent="0.25">
      <c r="A37" s="258"/>
      <c r="B37" s="758"/>
      <c r="C37" s="761"/>
      <c r="D37" s="761"/>
      <c r="E37" s="761"/>
      <c r="F37" s="749"/>
      <c r="G37" s="746"/>
      <c r="H37" s="749"/>
      <c r="I37" s="746"/>
      <c r="J37" s="746"/>
      <c r="K37" s="752"/>
      <c r="L37" s="755"/>
      <c r="O37" s="254"/>
      <c r="P37" s="254"/>
      <c r="Q37" s="14"/>
    </row>
    <row r="38" spans="1:17" x14ac:dyDescent="0.25">
      <c r="B38" s="759"/>
      <c r="C38" s="762"/>
      <c r="D38" s="762"/>
      <c r="E38" s="762"/>
      <c r="F38" s="750"/>
      <c r="G38" s="747"/>
      <c r="H38" s="750"/>
      <c r="I38" s="747"/>
      <c r="J38" s="747"/>
      <c r="K38" s="753"/>
      <c r="L38" s="756"/>
    </row>
    <row r="39" spans="1:17" x14ac:dyDescent="0.25">
      <c r="B39" s="759"/>
      <c r="C39" s="762"/>
      <c r="D39" s="762"/>
      <c r="E39" s="762"/>
      <c r="F39" s="750"/>
      <c r="G39" s="747"/>
      <c r="H39" s="750"/>
      <c r="I39" s="747"/>
      <c r="J39" s="747"/>
      <c r="K39" s="753"/>
      <c r="L39" s="756"/>
    </row>
    <row r="40" spans="1:17" x14ac:dyDescent="0.25">
      <c r="B40" s="760"/>
      <c r="C40" s="763"/>
      <c r="D40" s="763"/>
      <c r="E40" s="763"/>
      <c r="F40" s="751"/>
      <c r="G40" s="748"/>
      <c r="H40" s="751"/>
      <c r="I40" s="748"/>
      <c r="J40" s="748"/>
      <c r="K40" s="754"/>
      <c r="L40" s="757"/>
    </row>
    <row r="41" spans="1:17" x14ac:dyDescent="0.25">
      <c r="B41" s="758"/>
      <c r="C41" s="761"/>
      <c r="D41" s="761"/>
      <c r="E41" s="761"/>
      <c r="F41" s="749"/>
      <c r="G41" s="746"/>
      <c r="H41" s="749"/>
      <c r="I41" s="746"/>
      <c r="J41" s="746"/>
      <c r="K41" s="752"/>
      <c r="L41" s="755"/>
    </row>
    <row r="42" spans="1:17" x14ac:dyDescent="0.25">
      <c r="B42" s="759"/>
      <c r="C42" s="762"/>
      <c r="D42" s="762"/>
      <c r="E42" s="762"/>
      <c r="F42" s="750"/>
      <c r="G42" s="747"/>
      <c r="H42" s="750"/>
      <c r="I42" s="747"/>
      <c r="J42" s="747"/>
      <c r="K42" s="753"/>
      <c r="L42" s="756"/>
    </row>
    <row r="43" spans="1:17" x14ac:dyDescent="0.25">
      <c r="B43" s="759"/>
      <c r="C43" s="762"/>
      <c r="D43" s="762"/>
      <c r="E43" s="762"/>
      <c r="F43" s="750"/>
      <c r="G43" s="747"/>
      <c r="H43" s="750"/>
      <c r="I43" s="747"/>
      <c r="J43" s="747"/>
      <c r="K43" s="753"/>
      <c r="L43" s="756"/>
    </row>
    <row r="44" spans="1:17" x14ac:dyDescent="0.25">
      <c r="B44" s="760"/>
      <c r="C44" s="763"/>
      <c r="D44" s="763"/>
      <c r="E44" s="763"/>
      <c r="F44" s="751"/>
      <c r="G44" s="748"/>
      <c r="H44" s="751"/>
      <c r="I44" s="748"/>
      <c r="J44" s="748"/>
      <c r="K44" s="754"/>
      <c r="L44" s="757"/>
    </row>
    <row r="45" spans="1:17" x14ac:dyDescent="0.25">
      <c r="B45" s="758"/>
      <c r="C45" s="761"/>
      <c r="D45" s="761"/>
      <c r="E45" s="761"/>
      <c r="F45" s="749"/>
      <c r="G45" s="746"/>
      <c r="H45" s="749"/>
      <c r="I45" s="746"/>
      <c r="J45" s="746"/>
      <c r="K45" s="752"/>
      <c r="L45" s="755"/>
    </row>
    <row r="46" spans="1:17" x14ac:dyDescent="0.25">
      <c r="B46" s="759"/>
      <c r="C46" s="762"/>
      <c r="D46" s="762"/>
      <c r="E46" s="762"/>
      <c r="F46" s="750"/>
      <c r="G46" s="747"/>
      <c r="H46" s="750"/>
      <c r="I46" s="747"/>
      <c r="J46" s="747"/>
      <c r="K46" s="753"/>
      <c r="L46" s="756"/>
    </row>
    <row r="47" spans="1:17" x14ac:dyDescent="0.25">
      <c r="B47" s="759"/>
      <c r="C47" s="762"/>
      <c r="D47" s="762"/>
      <c r="E47" s="762"/>
      <c r="F47" s="750"/>
      <c r="G47" s="747"/>
      <c r="H47" s="750"/>
      <c r="I47" s="747"/>
      <c r="J47" s="747"/>
      <c r="K47" s="753"/>
      <c r="L47" s="756"/>
    </row>
    <row r="48" spans="1:17" x14ac:dyDescent="0.25">
      <c r="B48" s="760"/>
      <c r="C48" s="763"/>
      <c r="D48" s="763"/>
      <c r="E48" s="763"/>
      <c r="F48" s="751"/>
      <c r="G48" s="748"/>
      <c r="H48" s="751"/>
      <c r="I48" s="748"/>
      <c r="J48" s="748"/>
      <c r="K48" s="754"/>
      <c r="L48" s="757"/>
    </row>
    <row r="49" spans="2:12" x14ac:dyDescent="0.25">
      <c r="B49" s="758"/>
      <c r="C49" s="761"/>
      <c r="D49" s="761"/>
      <c r="E49" s="761"/>
      <c r="F49" s="749"/>
      <c r="G49" s="746"/>
      <c r="H49" s="749"/>
      <c r="I49" s="746"/>
      <c r="J49" s="746"/>
      <c r="K49" s="752"/>
      <c r="L49" s="755"/>
    </row>
    <row r="50" spans="2:12" x14ac:dyDescent="0.25">
      <c r="B50" s="759"/>
      <c r="C50" s="762"/>
      <c r="D50" s="762"/>
      <c r="E50" s="762"/>
      <c r="F50" s="750"/>
      <c r="G50" s="747"/>
      <c r="H50" s="750"/>
      <c r="I50" s="747"/>
      <c r="J50" s="747"/>
      <c r="K50" s="753"/>
      <c r="L50" s="756"/>
    </row>
    <row r="51" spans="2:12" x14ac:dyDescent="0.25">
      <c r="B51" s="759"/>
      <c r="C51" s="762"/>
      <c r="D51" s="762"/>
      <c r="E51" s="762"/>
      <c r="F51" s="750"/>
      <c r="G51" s="747"/>
      <c r="H51" s="750"/>
      <c r="I51" s="747"/>
      <c r="J51" s="747"/>
      <c r="K51" s="753"/>
      <c r="L51" s="756"/>
    </row>
    <row r="52" spans="2:12" x14ac:dyDescent="0.25">
      <c r="B52" s="760"/>
      <c r="C52" s="763"/>
      <c r="D52" s="763"/>
      <c r="E52" s="763"/>
      <c r="F52" s="751"/>
      <c r="G52" s="748"/>
      <c r="H52" s="751"/>
      <c r="I52" s="748"/>
      <c r="J52" s="748"/>
      <c r="K52" s="754"/>
      <c r="L52" s="757"/>
    </row>
    <row r="53" spans="2:12" x14ac:dyDescent="0.25">
      <c r="B53" s="758"/>
      <c r="C53" s="761"/>
      <c r="D53" s="761"/>
      <c r="E53" s="761"/>
      <c r="F53" s="749"/>
      <c r="G53" s="746"/>
      <c r="H53" s="749"/>
      <c r="I53" s="746"/>
      <c r="J53" s="746"/>
      <c r="K53" s="752"/>
      <c r="L53" s="755"/>
    </row>
    <row r="54" spans="2:12" x14ac:dyDescent="0.25">
      <c r="B54" s="759"/>
      <c r="C54" s="762"/>
      <c r="D54" s="762"/>
      <c r="E54" s="762"/>
      <c r="F54" s="750"/>
      <c r="G54" s="747"/>
      <c r="H54" s="750"/>
      <c r="I54" s="747"/>
      <c r="J54" s="747"/>
      <c r="K54" s="753"/>
      <c r="L54" s="756"/>
    </row>
    <row r="55" spans="2:12" x14ac:dyDescent="0.25">
      <c r="B55" s="759"/>
      <c r="C55" s="762"/>
      <c r="D55" s="762"/>
      <c r="E55" s="762"/>
      <c r="F55" s="750"/>
      <c r="G55" s="747"/>
      <c r="H55" s="750"/>
      <c r="I55" s="747"/>
      <c r="J55" s="747"/>
      <c r="K55" s="753"/>
      <c r="L55" s="756"/>
    </row>
    <row r="56" spans="2:12" x14ac:dyDescent="0.25">
      <c r="B56" s="760"/>
      <c r="C56" s="763"/>
      <c r="D56" s="763"/>
      <c r="E56" s="763"/>
      <c r="F56" s="751"/>
      <c r="G56" s="748"/>
      <c r="H56" s="751"/>
      <c r="I56" s="748"/>
      <c r="J56" s="748"/>
      <c r="K56" s="754"/>
      <c r="L56" s="757"/>
    </row>
    <row r="57" spans="2:12" x14ac:dyDescent="0.25">
      <c r="B57" s="758"/>
      <c r="C57" s="761"/>
      <c r="D57" s="761"/>
      <c r="E57" s="761"/>
      <c r="F57" s="749"/>
      <c r="G57" s="746"/>
      <c r="H57" s="749"/>
      <c r="I57" s="746"/>
      <c r="J57" s="746"/>
      <c r="K57" s="752"/>
      <c r="L57" s="755"/>
    </row>
    <row r="58" spans="2:12" x14ac:dyDescent="0.25">
      <c r="B58" s="759"/>
      <c r="C58" s="762"/>
      <c r="D58" s="762"/>
      <c r="E58" s="762"/>
      <c r="F58" s="750"/>
      <c r="G58" s="747"/>
      <c r="H58" s="750"/>
      <c r="I58" s="747"/>
      <c r="J58" s="747"/>
      <c r="K58" s="753"/>
      <c r="L58" s="756"/>
    </row>
    <row r="59" spans="2:12" x14ac:dyDescent="0.25">
      <c r="B59" s="759"/>
      <c r="C59" s="762"/>
      <c r="D59" s="762"/>
      <c r="E59" s="762"/>
      <c r="F59" s="750"/>
      <c r="G59" s="747"/>
      <c r="H59" s="750"/>
      <c r="I59" s="747"/>
      <c r="J59" s="747"/>
      <c r="K59" s="753"/>
      <c r="L59" s="756"/>
    </row>
    <row r="60" spans="2:12" x14ac:dyDescent="0.25">
      <c r="B60" s="760"/>
      <c r="C60" s="763"/>
      <c r="D60" s="763"/>
      <c r="E60" s="763"/>
      <c r="F60" s="751"/>
      <c r="G60" s="748"/>
      <c r="H60" s="751"/>
      <c r="I60" s="748"/>
      <c r="J60" s="748"/>
      <c r="K60" s="754"/>
      <c r="L60" s="757"/>
    </row>
  </sheetData>
  <sheetProtection algorithmName="SHA-512" hashValue="hnGp96ReRwsf+e50eUsHYMZKfxeBMUGSoFqIbs6jtSDSKyVpHZNpasOmF7V2AMgilwA3aHUYBM6QgN/TvZncpA==" saltValue="EqUtouTPRDQCHYKR6cs5tg==" spinCount="100000" sheet="1" objects="1" scenarios="1" selectLockedCells="1"/>
  <mergeCells count="127">
    <mergeCell ref="B11:L11"/>
    <mergeCell ref="B4:L4"/>
    <mergeCell ref="B5:L5"/>
    <mergeCell ref="B6:L6"/>
    <mergeCell ref="B8:L8"/>
    <mergeCell ref="B10:L10"/>
    <mergeCell ref="B12:L12"/>
    <mergeCell ref="F14:F16"/>
    <mergeCell ref="B14:B16"/>
    <mergeCell ref="C14:C16"/>
    <mergeCell ref="D14:D16"/>
    <mergeCell ref="E14:E16"/>
    <mergeCell ref="L14:L16"/>
    <mergeCell ref="J14:K16"/>
    <mergeCell ref="G14:G16"/>
    <mergeCell ref="I14:I16"/>
    <mergeCell ref="H14:H16"/>
    <mergeCell ref="F17:F20"/>
    <mergeCell ref="L17:L20"/>
    <mergeCell ref="B21:B24"/>
    <mergeCell ref="C21:C24"/>
    <mergeCell ref="D21:D24"/>
    <mergeCell ref="E21:E24"/>
    <mergeCell ref="F21:F24"/>
    <mergeCell ref="L21:L24"/>
    <mergeCell ref="B17:B20"/>
    <mergeCell ref="C17:C20"/>
    <mergeCell ref="D17:D20"/>
    <mergeCell ref="E17:E20"/>
    <mergeCell ref="G17:G20"/>
    <mergeCell ref="H17:H20"/>
    <mergeCell ref="I17:I20"/>
    <mergeCell ref="J17:K20"/>
    <mergeCell ref="G21:G24"/>
    <mergeCell ref="H21:H24"/>
    <mergeCell ref="F25:F28"/>
    <mergeCell ref="L25:L28"/>
    <mergeCell ref="B29:B32"/>
    <mergeCell ref="C29:C32"/>
    <mergeCell ref="D29:D32"/>
    <mergeCell ref="E29:E32"/>
    <mergeCell ref="F29:F32"/>
    <mergeCell ref="L29:L32"/>
    <mergeCell ref="B25:B28"/>
    <mergeCell ref="C25:C28"/>
    <mergeCell ref="D25:D28"/>
    <mergeCell ref="E25:E28"/>
    <mergeCell ref="G25:G28"/>
    <mergeCell ref="H25:H28"/>
    <mergeCell ref="G29:G32"/>
    <mergeCell ref="H29:H32"/>
    <mergeCell ref="F33:F36"/>
    <mergeCell ref="L33:L36"/>
    <mergeCell ref="B37:B40"/>
    <mergeCell ref="C37:C40"/>
    <mergeCell ref="D37:D40"/>
    <mergeCell ref="E37:E40"/>
    <mergeCell ref="F37:F40"/>
    <mergeCell ref="L37:L40"/>
    <mergeCell ref="B33:B36"/>
    <mergeCell ref="C33:C36"/>
    <mergeCell ref="D33:D36"/>
    <mergeCell ref="E33:E36"/>
    <mergeCell ref="G33:G36"/>
    <mergeCell ref="H33:H36"/>
    <mergeCell ref="G37:G40"/>
    <mergeCell ref="H37:H40"/>
    <mergeCell ref="F41:F44"/>
    <mergeCell ref="L41:L44"/>
    <mergeCell ref="B45:B48"/>
    <mergeCell ref="C45:C48"/>
    <mergeCell ref="D45:D48"/>
    <mergeCell ref="E45:E48"/>
    <mergeCell ref="F45:F48"/>
    <mergeCell ref="L45:L48"/>
    <mergeCell ref="B41:B44"/>
    <mergeCell ref="C41:C44"/>
    <mergeCell ref="D41:D44"/>
    <mergeCell ref="E41:E44"/>
    <mergeCell ref="G41:G44"/>
    <mergeCell ref="H41:H44"/>
    <mergeCell ref="G45:G48"/>
    <mergeCell ref="H45:H48"/>
    <mergeCell ref="L57:L60"/>
    <mergeCell ref="B57:B60"/>
    <mergeCell ref="C57:C60"/>
    <mergeCell ref="D57:D60"/>
    <mergeCell ref="E57:E60"/>
    <mergeCell ref="F57:F60"/>
    <mergeCell ref="L49:L52"/>
    <mergeCell ref="B53:B56"/>
    <mergeCell ref="C53:C56"/>
    <mergeCell ref="D53:D56"/>
    <mergeCell ref="E53:E56"/>
    <mergeCell ref="F53:F56"/>
    <mergeCell ref="L53:L56"/>
    <mergeCell ref="B49:B52"/>
    <mergeCell ref="C49:C52"/>
    <mergeCell ref="D49:D52"/>
    <mergeCell ref="E49:E52"/>
    <mergeCell ref="F49:F52"/>
    <mergeCell ref="I57:I60"/>
    <mergeCell ref="J57:K60"/>
    <mergeCell ref="G49:G52"/>
    <mergeCell ref="H49:H52"/>
    <mergeCell ref="G53:G56"/>
    <mergeCell ref="H53:H56"/>
    <mergeCell ref="G57:G60"/>
    <mergeCell ref="H57:H60"/>
    <mergeCell ref="I21:I24"/>
    <mergeCell ref="J21:K24"/>
    <mergeCell ref="I25:I28"/>
    <mergeCell ref="J25:K28"/>
    <mergeCell ref="I29:I32"/>
    <mergeCell ref="J29:K32"/>
    <mergeCell ref="I33:I36"/>
    <mergeCell ref="J33:K36"/>
    <mergeCell ref="I37:I40"/>
    <mergeCell ref="J37:K40"/>
    <mergeCell ref="I41:I44"/>
    <mergeCell ref="J41:K44"/>
    <mergeCell ref="I45:I48"/>
    <mergeCell ref="J45:K48"/>
    <mergeCell ref="I49:I52"/>
    <mergeCell ref="J49:K52"/>
    <mergeCell ref="I53:I56"/>
    <mergeCell ref="J53:K56"/>
  </mergeCells>
  <printOptions horizontalCentered="1"/>
  <pageMargins left="0.7" right="0.7" top="0.75" bottom="0.75" header="0.3" footer="0.3"/>
  <pageSetup scale="56" orientation="portrait" r:id="rId1"/>
  <headerFooter>
    <oddFooter>&amp;L&amp;A</oddFooter>
  </headerFooter>
  <ignoredErrors>
    <ignoredError sqref="H14" formula="1"/>
  </ignoredError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445CC-A9F5-4285-83F0-6D3935BA020A}">
  <sheetPr>
    <tabColor rgb="FF00B0F0"/>
    <pageSetUpPr fitToPage="1"/>
  </sheetPr>
  <dimension ref="A1:P57"/>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7" width="9.140625" style="2" customWidth="1"/>
    <col min="18" max="16384" width="9.140625" style="2"/>
  </cols>
  <sheetData>
    <row r="1" spans="1:16" x14ac:dyDescent="0.25">
      <c r="O1" s="2" t="s">
        <v>720</v>
      </c>
      <c r="P1" s="2" t="s">
        <v>720</v>
      </c>
    </row>
    <row r="2" spans="1:16" x14ac:dyDescent="0.25">
      <c r="B2" s="20" t="s">
        <v>0</v>
      </c>
      <c r="C2" s="20"/>
      <c r="O2" s="3" t="s">
        <v>166</v>
      </c>
      <c r="P2" s="3" t="s">
        <v>167</v>
      </c>
    </row>
    <row r="3" spans="1:16" x14ac:dyDescent="0.25">
      <c r="B3" s="21"/>
      <c r="C3" s="21"/>
      <c r="O3" s="8"/>
      <c r="P3" s="8"/>
    </row>
    <row r="4" spans="1:16" s="8" customFormat="1" x14ac:dyDescent="0.25">
      <c r="A4" s="13"/>
      <c r="B4" s="649" t="str">
        <f>Info!B4</f>
        <v>PRODUCERS' QUESTIONNAIRE</v>
      </c>
      <c r="C4" s="650"/>
      <c r="D4" s="650"/>
      <c r="E4" s="650"/>
      <c r="F4" s="650"/>
      <c r="G4" s="650"/>
      <c r="H4" s="650"/>
      <c r="I4" s="650"/>
      <c r="J4" s="650"/>
      <c r="K4" s="650"/>
      <c r="L4" s="651"/>
      <c r="M4" s="15"/>
      <c r="N4" s="15"/>
      <c r="O4" s="14"/>
      <c r="P4" s="14"/>
    </row>
    <row r="5" spans="1:16" s="8" customFormat="1" x14ac:dyDescent="0.25">
      <c r="A5" s="13"/>
      <c r="B5" s="652" t="str">
        <f>Info!B5</f>
        <v>NQ-2026-004</v>
      </c>
      <c r="C5" s="653"/>
      <c r="D5" s="653"/>
      <c r="E5" s="653"/>
      <c r="F5" s="653"/>
      <c r="G5" s="653"/>
      <c r="H5" s="653"/>
      <c r="I5" s="653"/>
      <c r="J5" s="653"/>
      <c r="K5" s="653"/>
      <c r="L5" s="654"/>
      <c r="M5" s="15"/>
      <c r="N5" s="15"/>
      <c r="O5" s="14"/>
      <c r="P5" s="14"/>
    </row>
    <row r="6" spans="1:16" s="9" customFormat="1" x14ac:dyDescent="0.25">
      <c r="A6" s="13"/>
      <c r="B6" s="657" t="str">
        <f>Info!B6</f>
        <v>DECORATIVE AND OTHER NON-STRUCTURAL PLYWOOD</v>
      </c>
      <c r="C6" s="658"/>
      <c r="D6" s="658"/>
      <c r="E6" s="658"/>
      <c r="F6" s="658"/>
      <c r="G6" s="658"/>
      <c r="H6" s="658"/>
      <c r="I6" s="658"/>
      <c r="J6" s="658"/>
      <c r="K6" s="658"/>
      <c r="L6" s="659"/>
      <c r="M6" s="14"/>
      <c r="N6" s="14"/>
      <c r="O6" s="10"/>
      <c r="P6" s="10"/>
    </row>
    <row r="7" spans="1:16" s="9" customFormat="1" x14ac:dyDescent="0.25">
      <c r="A7" s="13"/>
      <c r="B7" s="22"/>
      <c r="C7" s="22"/>
      <c r="D7" s="23"/>
      <c r="E7" s="23"/>
      <c r="F7" s="23"/>
      <c r="G7" s="23"/>
      <c r="H7" s="23"/>
      <c r="I7" s="23"/>
      <c r="J7" s="23"/>
      <c r="K7" s="23"/>
      <c r="L7" s="23"/>
      <c r="O7" s="10"/>
      <c r="P7" s="10"/>
    </row>
    <row r="8" spans="1:16" x14ac:dyDescent="0.25">
      <c r="B8" s="618" t="str">
        <f>UPPER(IF(Intro!$G$21="English",O8,P8))</f>
        <v>PUBLIC COMMENTS</v>
      </c>
      <c r="C8" s="619"/>
      <c r="D8" s="619"/>
      <c r="E8" s="619"/>
      <c r="F8" s="619"/>
      <c r="G8" s="619"/>
      <c r="H8" s="619"/>
      <c r="I8" s="619"/>
      <c r="J8" s="619"/>
      <c r="K8" s="619"/>
      <c r="L8" s="620"/>
      <c r="M8" s="2"/>
      <c r="O8" s="2" t="s">
        <v>150</v>
      </c>
      <c r="P8" s="2" t="s">
        <v>151</v>
      </c>
    </row>
    <row r="9" spans="1:16" x14ac:dyDescent="0.25">
      <c r="B9" s="24"/>
      <c r="C9" s="25"/>
      <c r="D9" s="26"/>
      <c r="E9" s="26"/>
      <c r="F9" s="26"/>
      <c r="G9" s="26"/>
      <c r="H9" s="26"/>
      <c r="I9" s="26"/>
      <c r="J9" s="26"/>
      <c r="K9" s="26"/>
      <c r="L9" s="27"/>
      <c r="M9" s="2"/>
    </row>
    <row r="10" spans="1:16" x14ac:dyDescent="0.25">
      <c r="B10" s="612" t="str">
        <f>IF(Intro!$G$21="English",O10,P10)</f>
        <v>Should your firm wish to add any comments related to its responses, submit them here. Be sure to indicate the applicable question number.</v>
      </c>
      <c r="C10" s="613"/>
      <c r="D10" s="613"/>
      <c r="E10" s="613"/>
      <c r="F10" s="613"/>
      <c r="G10" s="613"/>
      <c r="H10" s="613"/>
      <c r="I10" s="613"/>
      <c r="J10" s="613"/>
      <c r="K10" s="613"/>
      <c r="L10" s="614"/>
      <c r="M10" s="2"/>
      <c r="O10" s="11" t="s">
        <v>567</v>
      </c>
      <c r="P10" s="2" t="s">
        <v>410</v>
      </c>
    </row>
    <row r="11" spans="1:16" x14ac:dyDescent="0.25">
      <c r="B11" s="159"/>
      <c r="C11" s="25"/>
      <c r="D11" s="26"/>
      <c r="E11" s="26"/>
      <c r="F11" s="26"/>
      <c r="G11" s="26"/>
      <c r="H11" s="26"/>
      <c r="I11" s="26"/>
      <c r="J11" s="26"/>
      <c r="K11" s="26"/>
      <c r="L11" s="27"/>
      <c r="M11" s="2"/>
      <c r="O11" s="231" t="s">
        <v>705</v>
      </c>
      <c r="P11" s="231" t="s">
        <v>706</v>
      </c>
    </row>
    <row r="12" spans="1:16" ht="28.5" x14ac:dyDescent="0.25">
      <c r="B12" s="159"/>
      <c r="C12" s="288" t="str">
        <f>IF(Intro!$G$21="English",O11,P11)</f>
        <v>Tab and Question</v>
      </c>
      <c r="D12" s="797" t="str">
        <f>IF(Intro!$G$21="English",O12,P12)</f>
        <v>Comments</v>
      </c>
      <c r="E12" s="798"/>
      <c r="F12" s="798"/>
      <c r="G12" s="798"/>
      <c r="H12" s="798"/>
      <c r="I12" s="798"/>
      <c r="J12" s="798"/>
      <c r="K12" s="798"/>
      <c r="L12" s="799"/>
      <c r="M12" s="2"/>
      <c r="O12" s="11" t="s">
        <v>275</v>
      </c>
      <c r="P12" s="2" t="s">
        <v>276</v>
      </c>
    </row>
    <row r="13" spans="1:16" ht="14.25" customHeight="1" x14ac:dyDescent="0.25">
      <c r="B13" s="800" t="str">
        <f>IF(Intro!$G$21="English",O13,P13)</f>
        <v>Comment 1</v>
      </c>
      <c r="C13" s="803"/>
      <c r="D13" s="787"/>
      <c r="E13" s="788"/>
      <c r="F13" s="788"/>
      <c r="G13" s="788"/>
      <c r="H13" s="788"/>
      <c r="I13" s="788"/>
      <c r="J13" s="788"/>
      <c r="K13" s="788"/>
      <c r="L13" s="789"/>
      <c r="M13" s="2"/>
      <c r="O13" s="11" t="s">
        <v>277</v>
      </c>
      <c r="P13" s="2" t="s">
        <v>278</v>
      </c>
    </row>
    <row r="14" spans="1:16" x14ac:dyDescent="0.25">
      <c r="B14" s="801"/>
      <c r="C14" s="804"/>
      <c r="D14" s="790"/>
      <c r="E14" s="644"/>
      <c r="F14" s="644"/>
      <c r="G14" s="644"/>
      <c r="H14" s="644"/>
      <c r="I14" s="644"/>
      <c r="J14" s="644"/>
      <c r="K14" s="644"/>
      <c r="L14" s="645"/>
      <c r="M14" s="2"/>
    </row>
    <row r="15" spans="1:16" x14ac:dyDescent="0.25">
      <c r="B15" s="801"/>
      <c r="C15" s="804"/>
      <c r="D15" s="790"/>
      <c r="E15" s="644"/>
      <c r="F15" s="644"/>
      <c r="G15" s="644"/>
      <c r="H15" s="644"/>
      <c r="I15" s="644"/>
      <c r="J15" s="644"/>
      <c r="K15" s="644"/>
      <c r="L15" s="645"/>
      <c r="M15" s="2"/>
    </row>
    <row r="16" spans="1:16" x14ac:dyDescent="0.25">
      <c r="B16" s="801"/>
      <c r="C16" s="804"/>
      <c r="D16" s="790"/>
      <c r="E16" s="644"/>
      <c r="F16" s="644"/>
      <c r="G16" s="644"/>
      <c r="H16" s="644"/>
      <c r="I16" s="644"/>
      <c r="J16" s="644"/>
      <c r="K16" s="644"/>
      <c r="L16" s="645"/>
      <c r="M16" s="2"/>
    </row>
    <row r="17" spans="2:16" x14ac:dyDescent="0.25">
      <c r="B17" s="801"/>
      <c r="C17" s="804"/>
      <c r="D17" s="790"/>
      <c r="E17" s="644"/>
      <c r="F17" s="644"/>
      <c r="G17" s="644"/>
      <c r="H17" s="644"/>
      <c r="I17" s="644"/>
      <c r="J17" s="644"/>
      <c r="K17" s="644"/>
      <c r="L17" s="645"/>
      <c r="M17" s="2"/>
    </row>
    <row r="18" spans="2:16" x14ac:dyDescent="0.25">
      <c r="B18" s="801"/>
      <c r="C18" s="804"/>
      <c r="D18" s="790"/>
      <c r="E18" s="644"/>
      <c r="F18" s="644"/>
      <c r="G18" s="644"/>
      <c r="H18" s="644"/>
      <c r="I18" s="644"/>
      <c r="J18" s="644"/>
      <c r="K18" s="644"/>
      <c r="L18" s="645"/>
      <c r="M18" s="2"/>
      <c r="O18" s="156"/>
      <c r="P18" s="156"/>
    </row>
    <row r="19" spans="2:16" x14ac:dyDescent="0.25">
      <c r="B19" s="801"/>
      <c r="C19" s="804"/>
      <c r="D19" s="790"/>
      <c r="E19" s="644"/>
      <c r="F19" s="644"/>
      <c r="G19" s="644"/>
      <c r="H19" s="644"/>
      <c r="I19" s="644"/>
      <c r="J19" s="644"/>
      <c r="K19" s="644"/>
      <c r="L19" s="645"/>
      <c r="M19" s="2"/>
      <c r="O19" s="11"/>
    </row>
    <row r="20" spans="2:16" x14ac:dyDescent="0.25">
      <c r="B20" s="801"/>
      <c r="C20" s="804"/>
      <c r="D20" s="790"/>
      <c r="E20" s="644"/>
      <c r="F20" s="644"/>
      <c r="G20" s="644"/>
      <c r="H20" s="644"/>
      <c r="I20" s="644"/>
      <c r="J20" s="644"/>
      <c r="K20" s="644"/>
      <c r="L20" s="645"/>
      <c r="M20" s="2"/>
      <c r="O20" s="11"/>
    </row>
    <row r="21" spans="2:16" x14ac:dyDescent="0.25">
      <c r="B21" s="802"/>
      <c r="C21" s="805"/>
      <c r="D21" s="791"/>
      <c r="E21" s="792"/>
      <c r="F21" s="792"/>
      <c r="G21" s="792"/>
      <c r="H21" s="792"/>
      <c r="I21" s="792"/>
      <c r="J21" s="792"/>
      <c r="K21" s="792"/>
      <c r="L21" s="793"/>
      <c r="M21" s="2"/>
      <c r="O21" s="11"/>
    </row>
    <row r="22" spans="2:16" ht="14.25" customHeight="1" x14ac:dyDescent="0.25">
      <c r="B22" s="289" t="str">
        <f>IF(Intro!$G$21="English",O22,P22)</f>
        <v>Comment 2</v>
      </c>
      <c r="C22" s="803"/>
      <c r="D22" s="787"/>
      <c r="E22" s="788"/>
      <c r="F22" s="788"/>
      <c r="G22" s="788"/>
      <c r="H22" s="788"/>
      <c r="I22" s="788"/>
      <c r="J22" s="788"/>
      <c r="K22" s="788"/>
      <c r="L22" s="789"/>
      <c r="M22" s="2"/>
      <c r="O22" s="11" t="s">
        <v>279</v>
      </c>
      <c r="P22" s="2" t="s">
        <v>280</v>
      </c>
    </row>
    <row r="23" spans="2:16" x14ac:dyDescent="0.25">
      <c r="B23" s="159"/>
      <c r="C23" s="804"/>
      <c r="D23" s="790"/>
      <c r="E23" s="644"/>
      <c r="F23" s="644"/>
      <c r="G23" s="644"/>
      <c r="H23" s="644"/>
      <c r="I23" s="644"/>
      <c r="J23" s="644"/>
      <c r="K23" s="644"/>
      <c r="L23" s="645"/>
      <c r="M23" s="2"/>
    </row>
    <row r="24" spans="2:16" x14ac:dyDescent="0.25">
      <c r="B24" s="159"/>
      <c r="C24" s="804"/>
      <c r="D24" s="790"/>
      <c r="E24" s="644"/>
      <c r="F24" s="644"/>
      <c r="G24" s="644"/>
      <c r="H24" s="644"/>
      <c r="I24" s="644"/>
      <c r="J24" s="644"/>
      <c r="K24" s="644"/>
      <c r="L24" s="645"/>
      <c r="M24" s="2"/>
    </row>
    <row r="25" spans="2:16" x14ac:dyDescent="0.25">
      <c r="B25" s="159"/>
      <c r="C25" s="804"/>
      <c r="D25" s="790"/>
      <c r="E25" s="644"/>
      <c r="F25" s="644"/>
      <c r="G25" s="644"/>
      <c r="H25" s="644"/>
      <c r="I25" s="644"/>
      <c r="J25" s="644"/>
      <c r="K25" s="644"/>
      <c r="L25" s="645"/>
      <c r="M25" s="2"/>
    </row>
    <row r="26" spans="2:16" x14ac:dyDescent="0.25">
      <c r="B26" s="159"/>
      <c r="C26" s="804"/>
      <c r="D26" s="790"/>
      <c r="E26" s="644"/>
      <c r="F26" s="644"/>
      <c r="G26" s="644"/>
      <c r="H26" s="644"/>
      <c r="I26" s="644"/>
      <c r="J26" s="644"/>
      <c r="K26" s="644"/>
      <c r="L26" s="645"/>
      <c r="M26" s="2"/>
      <c r="O26" s="11"/>
    </row>
    <row r="27" spans="2:16" x14ac:dyDescent="0.25">
      <c r="B27" s="159"/>
      <c r="C27" s="804"/>
      <c r="D27" s="790"/>
      <c r="E27" s="644"/>
      <c r="F27" s="644"/>
      <c r="G27" s="644"/>
      <c r="H27" s="644"/>
      <c r="I27" s="644"/>
      <c r="J27" s="644"/>
      <c r="K27" s="644"/>
      <c r="L27" s="645"/>
      <c r="M27" s="2"/>
      <c r="O27" s="11"/>
    </row>
    <row r="28" spans="2:16" x14ac:dyDescent="0.25">
      <c r="B28" s="159"/>
      <c r="C28" s="804"/>
      <c r="D28" s="790"/>
      <c r="E28" s="644"/>
      <c r="F28" s="644"/>
      <c r="G28" s="644"/>
      <c r="H28" s="644"/>
      <c r="I28" s="644"/>
      <c r="J28" s="644"/>
      <c r="K28" s="644"/>
      <c r="L28" s="645"/>
      <c r="M28" s="2"/>
      <c r="O28" s="11"/>
    </row>
    <row r="29" spans="2:16" x14ac:dyDescent="0.25">
      <c r="B29" s="159"/>
      <c r="C29" s="804"/>
      <c r="D29" s="790"/>
      <c r="E29" s="644"/>
      <c r="F29" s="644"/>
      <c r="G29" s="644"/>
      <c r="H29" s="644"/>
      <c r="I29" s="644"/>
      <c r="J29" s="644"/>
      <c r="K29" s="644"/>
      <c r="L29" s="645"/>
      <c r="M29" s="2"/>
      <c r="O29" s="11"/>
    </row>
    <row r="30" spans="2:16" x14ac:dyDescent="0.25">
      <c r="B30" s="210"/>
      <c r="C30" s="805"/>
      <c r="D30" s="791"/>
      <c r="E30" s="792"/>
      <c r="F30" s="792"/>
      <c r="G30" s="792"/>
      <c r="H30" s="792"/>
      <c r="I30" s="792"/>
      <c r="J30" s="792"/>
      <c r="K30" s="792"/>
      <c r="L30" s="793"/>
      <c r="M30" s="2"/>
      <c r="O30" s="11"/>
    </row>
    <row r="31" spans="2:16" x14ac:dyDescent="0.25">
      <c r="B31" s="289" t="str">
        <f>IF(Intro!$G$21="English",O31,P31)</f>
        <v>Comment 3</v>
      </c>
      <c r="C31" s="803"/>
      <c r="D31" s="787"/>
      <c r="E31" s="788"/>
      <c r="F31" s="788"/>
      <c r="G31" s="788"/>
      <c r="H31" s="788"/>
      <c r="I31" s="788"/>
      <c r="J31" s="788"/>
      <c r="K31" s="788"/>
      <c r="L31" s="789"/>
      <c r="M31" s="2"/>
      <c r="O31" s="11" t="s">
        <v>281</v>
      </c>
      <c r="P31" s="2" t="s">
        <v>282</v>
      </c>
    </row>
    <row r="32" spans="2:16" x14ac:dyDescent="0.25">
      <c r="B32" s="159"/>
      <c r="C32" s="804"/>
      <c r="D32" s="790"/>
      <c r="E32" s="644"/>
      <c r="F32" s="644"/>
      <c r="G32" s="644"/>
      <c r="H32" s="644"/>
      <c r="I32" s="644"/>
      <c r="J32" s="644"/>
      <c r="K32" s="644"/>
      <c r="L32" s="645"/>
      <c r="M32" s="2"/>
    </row>
    <row r="33" spans="2:16" x14ac:dyDescent="0.25">
      <c r="B33" s="159"/>
      <c r="C33" s="804"/>
      <c r="D33" s="790"/>
      <c r="E33" s="644"/>
      <c r="F33" s="644"/>
      <c r="G33" s="644"/>
      <c r="H33" s="644"/>
      <c r="I33" s="644"/>
      <c r="J33" s="644"/>
      <c r="K33" s="644"/>
      <c r="L33" s="645"/>
      <c r="M33" s="2"/>
    </row>
    <row r="34" spans="2:16" x14ac:dyDescent="0.25">
      <c r="B34" s="159"/>
      <c r="C34" s="804"/>
      <c r="D34" s="790"/>
      <c r="E34" s="644"/>
      <c r="F34" s="644"/>
      <c r="G34" s="644"/>
      <c r="H34" s="644"/>
      <c r="I34" s="644"/>
      <c r="J34" s="644"/>
      <c r="K34" s="644"/>
      <c r="L34" s="645"/>
      <c r="M34" s="2"/>
      <c r="O34" s="11"/>
    </row>
    <row r="35" spans="2:16" x14ac:dyDescent="0.25">
      <c r="B35" s="159"/>
      <c r="C35" s="804"/>
      <c r="D35" s="790"/>
      <c r="E35" s="644"/>
      <c r="F35" s="644"/>
      <c r="G35" s="644"/>
      <c r="H35" s="644"/>
      <c r="I35" s="644"/>
      <c r="J35" s="644"/>
      <c r="K35" s="644"/>
      <c r="L35" s="645"/>
      <c r="M35" s="2"/>
      <c r="O35" s="11"/>
    </row>
    <row r="36" spans="2:16" x14ac:dyDescent="0.25">
      <c r="B36" s="159"/>
      <c r="C36" s="804"/>
      <c r="D36" s="790"/>
      <c r="E36" s="644"/>
      <c r="F36" s="644"/>
      <c r="G36" s="644"/>
      <c r="H36" s="644"/>
      <c r="I36" s="644"/>
      <c r="J36" s="644"/>
      <c r="K36" s="644"/>
      <c r="L36" s="645"/>
      <c r="M36" s="2"/>
      <c r="O36" s="11"/>
    </row>
    <row r="37" spans="2:16" x14ac:dyDescent="0.25">
      <c r="B37" s="159"/>
      <c r="C37" s="804"/>
      <c r="D37" s="790"/>
      <c r="E37" s="644"/>
      <c r="F37" s="644"/>
      <c r="G37" s="644"/>
      <c r="H37" s="644"/>
      <c r="I37" s="644"/>
      <c r="J37" s="644"/>
      <c r="K37" s="644"/>
      <c r="L37" s="645"/>
      <c r="M37" s="2"/>
      <c r="O37" s="11"/>
    </row>
    <row r="38" spans="2:16" x14ac:dyDescent="0.25">
      <c r="B38" s="159"/>
      <c r="C38" s="804"/>
      <c r="D38" s="790"/>
      <c r="E38" s="644"/>
      <c r="F38" s="644"/>
      <c r="G38" s="644"/>
      <c r="H38" s="644"/>
      <c r="I38" s="644"/>
      <c r="J38" s="644"/>
      <c r="K38" s="644"/>
      <c r="L38" s="645"/>
      <c r="M38" s="2"/>
      <c r="O38" s="11"/>
    </row>
    <row r="39" spans="2:16" x14ac:dyDescent="0.25">
      <c r="B39" s="210"/>
      <c r="C39" s="805"/>
      <c r="D39" s="791"/>
      <c r="E39" s="792"/>
      <c r="F39" s="792"/>
      <c r="G39" s="792"/>
      <c r="H39" s="792"/>
      <c r="I39" s="792"/>
      <c r="J39" s="792"/>
      <c r="K39" s="792"/>
      <c r="L39" s="793"/>
      <c r="M39" s="2"/>
      <c r="O39" s="11"/>
    </row>
    <row r="40" spans="2:16" ht="14.25" customHeight="1" x14ac:dyDescent="0.25">
      <c r="B40" s="289" t="str">
        <f>IF(Intro!$G$21="English",O40,P40)</f>
        <v>Comment 4</v>
      </c>
      <c r="C40" s="803"/>
      <c r="D40" s="787"/>
      <c r="E40" s="788"/>
      <c r="F40" s="788"/>
      <c r="G40" s="788"/>
      <c r="H40" s="788"/>
      <c r="I40" s="788"/>
      <c r="J40" s="788"/>
      <c r="K40" s="788"/>
      <c r="L40" s="789"/>
      <c r="M40" s="2"/>
      <c r="O40" s="11" t="s">
        <v>283</v>
      </c>
      <c r="P40" s="2" t="s">
        <v>284</v>
      </c>
    </row>
    <row r="41" spans="2:16" x14ac:dyDescent="0.25">
      <c r="B41" s="159"/>
      <c r="C41" s="804"/>
      <c r="D41" s="790"/>
      <c r="E41" s="644"/>
      <c r="F41" s="644"/>
      <c r="G41" s="644"/>
      <c r="H41" s="644"/>
      <c r="I41" s="644"/>
      <c r="J41" s="644"/>
      <c r="K41" s="644"/>
      <c r="L41" s="645"/>
      <c r="M41" s="2"/>
    </row>
    <row r="42" spans="2:16" x14ac:dyDescent="0.25">
      <c r="B42" s="159"/>
      <c r="C42" s="804"/>
      <c r="D42" s="790"/>
      <c r="E42" s="644"/>
      <c r="F42" s="644"/>
      <c r="G42" s="644"/>
      <c r="H42" s="644"/>
      <c r="I42" s="644"/>
      <c r="J42" s="644"/>
      <c r="K42" s="644"/>
      <c r="L42" s="645"/>
      <c r="M42" s="2"/>
      <c r="O42" s="11"/>
    </row>
    <row r="43" spans="2:16" x14ac:dyDescent="0.25">
      <c r="B43" s="159"/>
      <c r="C43" s="804"/>
      <c r="D43" s="790"/>
      <c r="E43" s="644"/>
      <c r="F43" s="644"/>
      <c r="G43" s="644"/>
      <c r="H43" s="644"/>
      <c r="I43" s="644"/>
      <c r="J43" s="644"/>
      <c r="K43" s="644"/>
      <c r="L43" s="645"/>
      <c r="M43" s="2"/>
      <c r="O43" s="11"/>
    </row>
    <row r="44" spans="2:16" x14ac:dyDescent="0.25">
      <c r="B44" s="159"/>
      <c r="C44" s="804"/>
      <c r="D44" s="790"/>
      <c r="E44" s="644"/>
      <c r="F44" s="644"/>
      <c r="G44" s="644"/>
      <c r="H44" s="644"/>
      <c r="I44" s="644"/>
      <c r="J44" s="644"/>
      <c r="K44" s="644"/>
      <c r="L44" s="645"/>
      <c r="M44" s="2"/>
      <c r="O44" s="11"/>
    </row>
    <row r="45" spans="2:16" x14ac:dyDescent="0.25">
      <c r="B45" s="159"/>
      <c r="C45" s="804"/>
      <c r="D45" s="790"/>
      <c r="E45" s="644"/>
      <c r="F45" s="644"/>
      <c r="G45" s="644"/>
      <c r="H45" s="644"/>
      <c r="I45" s="644"/>
      <c r="J45" s="644"/>
      <c r="K45" s="644"/>
      <c r="L45" s="645"/>
      <c r="M45" s="2"/>
      <c r="O45" s="11"/>
    </row>
    <row r="46" spans="2:16" x14ac:dyDescent="0.25">
      <c r="B46" s="159"/>
      <c r="C46" s="804"/>
      <c r="D46" s="790"/>
      <c r="E46" s="644"/>
      <c r="F46" s="644"/>
      <c r="G46" s="644"/>
      <c r="H46" s="644"/>
      <c r="I46" s="644"/>
      <c r="J46" s="644"/>
      <c r="K46" s="644"/>
      <c r="L46" s="645"/>
      <c r="M46" s="2"/>
      <c r="O46" s="11"/>
    </row>
    <row r="47" spans="2:16" x14ac:dyDescent="0.25">
      <c r="B47" s="159"/>
      <c r="C47" s="804"/>
      <c r="D47" s="790"/>
      <c r="E47" s="644"/>
      <c r="F47" s="644"/>
      <c r="G47" s="644"/>
      <c r="H47" s="644"/>
      <c r="I47" s="644"/>
      <c r="J47" s="644"/>
      <c r="K47" s="644"/>
      <c r="L47" s="645"/>
      <c r="M47" s="2"/>
      <c r="O47" s="11"/>
    </row>
    <row r="48" spans="2:16" x14ac:dyDescent="0.25">
      <c r="B48" s="210"/>
      <c r="C48" s="805"/>
      <c r="D48" s="791"/>
      <c r="E48" s="792"/>
      <c r="F48" s="792"/>
      <c r="G48" s="792"/>
      <c r="H48" s="792"/>
      <c r="I48" s="792"/>
      <c r="J48" s="792"/>
      <c r="K48" s="792"/>
      <c r="L48" s="793"/>
      <c r="M48" s="2"/>
      <c r="O48" s="11"/>
    </row>
    <row r="49" spans="1:16" ht="14.25" customHeight="1" x14ac:dyDescent="0.25">
      <c r="B49" s="289" t="str">
        <f>IF(Intro!$G$21="English",O49,P49)</f>
        <v>Comment 5</v>
      </c>
      <c r="C49" s="803"/>
      <c r="D49" s="787"/>
      <c r="E49" s="788"/>
      <c r="F49" s="788"/>
      <c r="G49" s="788"/>
      <c r="H49" s="788"/>
      <c r="I49" s="788"/>
      <c r="J49" s="788"/>
      <c r="K49" s="788"/>
      <c r="L49" s="789"/>
      <c r="M49" s="2"/>
      <c r="O49" s="11" t="s">
        <v>285</v>
      </c>
      <c r="P49" s="2" t="s">
        <v>286</v>
      </c>
    </row>
    <row r="50" spans="1:16" x14ac:dyDescent="0.25">
      <c r="B50" s="159"/>
      <c r="C50" s="804"/>
      <c r="D50" s="790"/>
      <c r="E50" s="644"/>
      <c r="F50" s="644"/>
      <c r="G50" s="644"/>
      <c r="H50" s="644"/>
      <c r="I50" s="644"/>
      <c r="J50" s="644"/>
      <c r="K50" s="644"/>
      <c r="L50" s="645"/>
      <c r="M50" s="2"/>
      <c r="O50" s="11"/>
    </row>
    <row r="51" spans="1:16" x14ac:dyDescent="0.25">
      <c r="B51" s="159"/>
      <c r="C51" s="804"/>
      <c r="D51" s="790"/>
      <c r="E51" s="644"/>
      <c r="F51" s="644"/>
      <c r="G51" s="644"/>
      <c r="H51" s="644"/>
      <c r="I51" s="644"/>
      <c r="J51" s="644"/>
      <c r="K51" s="644"/>
      <c r="L51" s="645"/>
      <c r="M51" s="2"/>
      <c r="O51" s="11"/>
    </row>
    <row r="52" spans="1:16" x14ac:dyDescent="0.25">
      <c r="B52" s="159"/>
      <c r="C52" s="804"/>
      <c r="D52" s="790"/>
      <c r="E52" s="644"/>
      <c r="F52" s="644"/>
      <c r="G52" s="644"/>
      <c r="H52" s="644"/>
      <c r="I52" s="644"/>
      <c r="J52" s="644"/>
      <c r="K52" s="644"/>
      <c r="L52" s="645"/>
      <c r="M52" s="2"/>
      <c r="O52" s="11"/>
    </row>
    <row r="53" spans="1:16" x14ac:dyDescent="0.25">
      <c r="B53" s="159"/>
      <c r="C53" s="804"/>
      <c r="D53" s="790"/>
      <c r="E53" s="644"/>
      <c r="F53" s="644"/>
      <c r="G53" s="644"/>
      <c r="H53" s="644"/>
      <c r="I53" s="644"/>
      <c r="J53" s="644"/>
      <c r="K53" s="644"/>
      <c r="L53" s="645"/>
      <c r="M53" s="2"/>
      <c r="O53" s="11"/>
    </row>
    <row r="54" spans="1:16" x14ac:dyDescent="0.25">
      <c r="B54" s="159"/>
      <c r="C54" s="804"/>
      <c r="D54" s="790"/>
      <c r="E54" s="644"/>
      <c r="F54" s="644"/>
      <c r="G54" s="644"/>
      <c r="H54" s="644"/>
      <c r="I54" s="644"/>
      <c r="J54" s="644"/>
      <c r="K54" s="644"/>
      <c r="L54" s="645"/>
      <c r="M54" s="2"/>
      <c r="O54" s="11"/>
    </row>
    <row r="55" spans="1:16" x14ac:dyDescent="0.25">
      <c r="B55" s="159"/>
      <c r="C55" s="804"/>
      <c r="D55" s="790"/>
      <c r="E55" s="644"/>
      <c r="F55" s="644"/>
      <c r="G55" s="644"/>
      <c r="H55" s="644"/>
      <c r="I55" s="644"/>
      <c r="J55" s="644"/>
      <c r="K55" s="644"/>
      <c r="L55" s="645"/>
      <c r="M55" s="2"/>
      <c r="O55" s="11"/>
    </row>
    <row r="56" spans="1:16" x14ac:dyDescent="0.25">
      <c r="B56" s="159"/>
      <c r="C56" s="804"/>
      <c r="D56" s="790"/>
      <c r="E56" s="644"/>
      <c r="F56" s="644"/>
      <c r="G56" s="644"/>
      <c r="H56" s="644"/>
      <c r="I56" s="644"/>
      <c r="J56" s="644"/>
      <c r="K56" s="644"/>
      <c r="L56" s="645"/>
      <c r="M56" s="2"/>
      <c r="O56" s="11"/>
    </row>
    <row r="57" spans="1:16" s="156" customFormat="1" x14ac:dyDescent="0.25">
      <c r="A57" s="180"/>
      <c r="B57" s="36"/>
      <c r="C57" s="805"/>
      <c r="D57" s="794"/>
      <c r="E57" s="795"/>
      <c r="F57" s="795"/>
      <c r="G57" s="795"/>
      <c r="H57" s="795"/>
      <c r="I57" s="795"/>
      <c r="J57" s="795"/>
      <c r="K57" s="795"/>
      <c r="L57" s="796"/>
      <c r="N57" s="182"/>
    </row>
  </sheetData>
  <sheetProtection algorithmName="SHA-512" hashValue="tAQ4xGDvz9CclQdQ5NfZswUeW1EuNlUFrohPUWHcR2geU4heU2r6J6Mm/mhEYZb7Ckme9blKTBNUm/x8TrQYLw==" saltValue="IfKawDbMkwt57ehUwTwSug==" spinCount="100000" sheet="1" objects="1" scenarios="1" selectLockedCells="1"/>
  <mergeCells count="17">
    <mergeCell ref="B4:L4"/>
    <mergeCell ref="B5:L5"/>
    <mergeCell ref="B6:L6"/>
    <mergeCell ref="B10:L10"/>
    <mergeCell ref="B8:L8"/>
    <mergeCell ref="D40:L48"/>
    <mergeCell ref="D49:L57"/>
    <mergeCell ref="D12:L12"/>
    <mergeCell ref="B13:B21"/>
    <mergeCell ref="D13:L21"/>
    <mergeCell ref="D22:L30"/>
    <mergeCell ref="D31:L39"/>
    <mergeCell ref="C13:C21"/>
    <mergeCell ref="C22:C30"/>
    <mergeCell ref="C31:C39"/>
    <mergeCell ref="C40:C48"/>
    <mergeCell ref="C49:C57"/>
  </mergeCells>
  <printOptions horizontalCentered="1"/>
  <pageMargins left="0.25" right="0.25" top="0.75" bottom="0.75" header="0.3" footer="0.3"/>
  <pageSetup scale="63" fitToHeight="0" orientation="portrait" r:id="rId1"/>
  <headerFooter>
    <oddFooter>&amp;L&amp;A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7689-61BB-4065-83F8-7BF3C287F5CE}">
  <sheetPr>
    <tabColor rgb="FF92D050"/>
    <pageSetUpPr fitToPage="1"/>
  </sheetPr>
  <dimension ref="A1:Q110"/>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8" width="9.140625" style="2" customWidth="1"/>
    <col min="19" max="16384" width="9.140625" style="2"/>
  </cols>
  <sheetData>
    <row r="1" spans="1:16" x14ac:dyDescent="0.25">
      <c r="O1" s="2" t="s">
        <v>720</v>
      </c>
      <c r="P1" s="2" t="s">
        <v>720</v>
      </c>
    </row>
    <row r="2" spans="1:16" x14ac:dyDescent="0.25">
      <c r="B2" s="20" t="str">
        <f>IF(Intro!$G$21="English",O3,P3)</f>
        <v>PROTECTED</v>
      </c>
      <c r="C2" s="20"/>
      <c r="D2" s="20"/>
      <c r="O2" s="3" t="s">
        <v>166</v>
      </c>
      <c r="P2" s="3" t="s">
        <v>167</v>
      </c>
    </row>
    <row r="3" spans="1:16" x14ac:dyDescent="0.25">
      <c r="B3" s="21"/>
      <c r="C3" s="21"/>
      <c r="D3" s="21"/>
      <c r="O3" s="199" t="s">
        <v>649</v>
      </c>
      <c r="P3" s="199" t="s">
        <v>650</v>
      </c>
    </row>
    <row r="4" spans="1:16" s="8" customFormat="1" x14ac:dyDescent="0.25">
      <c r="A4" s="13"/>
      <c r="B4" s="649" t="str">
        <f>Info!B4</f>
        <v>PRODUCERS' QUESTIONNAIRE</v>
      </c>
      <c r="C4" s="650"/>
      <c r="D4" s="650"/>
      <c r="E4" s="650"/>
      <c r="F4" s="650"/>
      <c r="G4" s="650"/>
      <c r="H4" s="650"/>
      <c r="I4" s="650"/>
      <c r="J4" s="650"/>
      <c r="K4" s="650"/>
      <c r="L4" s="651"/>
      <c r="M4" s="6"/>
      <c r="N4" s="6"/>
      <c r="O4" s="7"/>
      <c r="P4" s="7"/>
    </row>
    <row r="5" spans="1:16" s="8" customFormat="1" x14ac:dyDescent="0.25">
      <c r="A5" s="13"/>
      <c r="B5" s="652" t="str">
        <f>Info!B5</f>
        <v>NQ-2026-004</v>
      </c>
      <c r="C5" s="653"/>
      <c r="D5" s="653"/>
      <c r="E5" s="653"/>
      <c r="F5" s="653"/>
      <c r="G5" s="653"/>
      <c r="H5" s="653"/>
      <c r="I5" s="653"/>
      <c r="J5" s="653"/>
      <c r="K5" s="653"/>
      <c r="L5" s="654"/>
      <c r="M5" s="6"/>
      <c r="N5" s="6"/>
      <c r="O5" s="7"/>
      <c r="P5" s="7"/>
    </row>
    <row r="6" spans="1:16" s="9" customFormat="1" x14ac:dyDescent="0.25">
      <c r="A6" s="13"/>
      <c r="B6" s="652" t="str">
        <f>Info!B6</f>
        <v>DECORATIVE AND OTHER NON-STRUCTURAL PLYWOOD</v>
      </c>
      <c r="C6" s="653"/>
      <c r="D6" s="653"/>
      <c r="E6" s="653"/>
      <c r="F6" s="653"/>
      <c r="G6" s="653"/>
      <c r="H6" s="653"/>
      <c r="I6" s="653"/>
      <c r="J6" s="653"/>
      <c r="K6" s="653"/>
      <c r="L6" s="654"/>
      <c r="M6" s="14"/>
      <c r="N6" s="14"/>
      <c r="O6" s="10"/>
      <c r="P6" s="10"/>
    </row>
    <row r="7" spans="1:16" s="9" customFormat="1" x14ac:dyDescent="0.25">
      <c r="A7" s="13"/>
      <c r="B7" s="242"/>
      <c r="C7" s="28"/>
      <c r="D7" s="28"/>
      <c r="E7" s="28"/>
      <c r="F7" s="28"/>
      <c r="G7" s="28"/>
      <c r="H7" s="28"/>
      <c r="I7" s="28"/>
      <c r="J7" s="28"/>
      <c r="K7" s="28"/>
      <c r="L7" s="243"/>
      <c r="M7" s="14"/>
      <c r="N7" s="14"/>
      <c r="O7" s="5"/>
    </row>
    <row r="8" spans="1:16" s="9" customFormat="1" x14ac:dyDescent="0.25">
      <c r="A8" s="13"/>
      <c r="B8" s="733" t="str">
        <f>Public!B8</f>
        <v>The following questions refer to the goods as defined in the product description on the Intro tab.</v>
      </c>
      <c r="C8" s="734"/>
      <c r="D8" s="734"/>
      <c r="E8" s="734"/>
      <c r="F8" s="734"/>
      <c r="G8" s="734"/>
      <c r="H8" s="734"/>
      <c r="I8" s="734"/>
      <c r="J8" s="734"/>
      <c r="K8" s="734"/>
      <c r="L8" s="735"/>
      <c r="M8" s="14"/>
      <c r="N8" s="14"/>
      <c r="O8" s="10"/>
      <c r="P8" s="10"/>
    </row>
    <row r="9" spans="1:16" s="9" customFormat="1" x14ac:dyDescent="0.25">
      <c r="A9" s="13"/>
      <c r="B9" s="733" t="str">
        <f>Public!B9</f>
        <v xml:space="preserve">Product information and a glossary of terms can be found in the Info tab.
</v>
      </c>
      <c r="C9" s="734"/>
      <c r="D9" s="734"/>
      <c r="E9" s="734"/>
      <c r="F9" s="734"/>
      <c r="G9" s="734"/>
      <c r="H9" s="734"/>
      <c r="I9" s="734"/>
      <c r="J9" s="734"/>
      <c r="K9" s="734"/>
      <c r="L9" s="735"/>
      <c r="M9" s="14"/>
      <c r="N9" s="14"/>
      <c r="O9" s="10"/>
    </row>
    <row r="10" spans="1:16" s="9" customFormat="1" x14ac:dyDescent="0.25">
      <c r="A10" s="13"/>
      <c r="B10" s="736" t="str">
        <f>IF(Intro!$G$21="English",O10,P10)</f>
        <v xml:space="preserve">Use the AddPro tab if more space is needed.
</v>
      </c>
      <c r="C10" s="737"/>
      <c r="D10" s="737"/>
      <c r="E10" s="737"/>
      <c r="F10" s="737"/>
      <c r="G10" s="737"/>
      <c r="H10" s="737"/>
      <c r="I10" s="737"/>
      <c r="J10" s="737"/>
      <c r="K10" s="737"/>
      <c r="L10" s="738"/>
      <c r="M10" s="14"/>
      <c r="N10" s="14"/>
      <c r="O10" s="10" t="s">
        <v>178</v>
      </c>
      <c r="P10" s="10" t="str">
        <f>"Utilisez l'onglet AddPro si vous avez besoin de plus d'espace."&amp;CHAR(10)</f>
        <v xml:space="preserve">Utilisez l'onglet AddPro si vous avez besoin de plus d'espace.
</v>
      </c>
    </row>
    <row r="11" spans="1:16" s="9" customFormat="1" x14ac:dyDescent="0.25">
      <c r="A11" s="13"/>
      <c r="B11" s="22"/>
      <c r="C11" s="22"/>
      <c r="D11" s="22"/>
      <c r="E11" s="23"/>
      <c r="F11" s="23"/>
      <c r="G11" s="23"/>
      <c r="H11" s="23"/>
      <c r="I11" s="23"/>
      <c r="J11" s="23"/>
      <c r="K11" s="23"/>
      <c r="L11" s="23"/>
      <c r="O11" s="10"/>
      <c r="P11" s="10"/>
    </row>
    <row r="12" spans="1:16" x14ac:dyDescent="0.25">
      <c r="B12" s="618" t="str">
        <f>IF(Intro!$G$21="English",O12,P12)</f>
        <v>PRODUCTION AND CAPACITY</v>
      </c>
      <c r="C12" s="619"/>
      <c r="D12" s="619"/>
      <c r="E12" s="619"/>
      <c r="F12" s="619"/>
      <c r="G12" s="619"/>
      <c r="H12" s="619"/>
      <c r="I12" s="619"/>
      <c r="J12" s="619"/>
      <c r="K12" s="619"/>
      <c r="L12" s="620"/>
      <c r="M12" s="152"/>
      <c r="O12" s="199" t="s">
        <v>641</v>
      </c>
      <c r="P12" s="199" t="s">
        <v>642</v>
      </c>
    </row>
    <row r="13" spans="1:16" x14ac:dyDescent="0.25">
      <c r="B13" s="714" t="s">
        <v>20</v>
      </c>
      <c r="C13" s="715"/>
      <c r="D13" s="715"/>
      <c r="E13" s="715"/>
      <c r="F13" s="715"/>
      <c r="G13" s="715"/>
      <c r="H13" s="715"/>
      <c r="I13" s="715"/>
      <c r="J13" s="715"/>
      <c r="K13" s="715"/>
      <c r="L13" s="716"/>
      <c r="M13" s="2"/>
    </row>
    <row r="14" spans="1:16" x14ac:dyDescent="0.25">
      <c r="B14" s="24"/>
      <c r="C14" s="25"/>
      <c r="D14" s="25"/>
      <c r="E14" s="26"/>
      <c r="F14" s="26"/>
      <c r="G14" s="26"/>
      <c r="H14" s="26"/>
      <c r="I14" s="26"/>
      <c r="J14" s="26"/>
      <c r="K14" s="26"/>
      <c r="L14" s="27"/>
      <c r="M14" s="2"/>
    </row>
    <row r="15" spans="1:16" x14ac:dyDescent="0.25">
      <c r="B15" s="612" t="str">
        <f>IF(Intro!$G$21="English",O15,P15)</f>
        <v>Complete the following table for your firm's Canadian production of the goods and other goods produced on the same equipment. 
Note, other products produced on the same equipment are any other products besides the goods as defined in the "Intro" tab that are produced using the same equipment.</v>
      </c>
      <c r="C15" s="613"/>
      <c r="D15" s="613"/>
      <c r="E15" s="613"/>
      <c r="F15" s="613"/>
      <c r="G15" s="613"/>
      <c r="H15" s="613"/>
      <c r="I15" s="613"/>
      <c r="J15" s="613"/>
      <c r="K15" s="613"/>
      <c r="L15" s="614"/>
      <c r="M15" s="2"/>
      <c r="O15" s="11" t="s">
        <v>668</v>
      </c>
      <c r="P15" s="2" t="s">
        <v>700</v>
      </c>
    </row>
    <row r="16" spans="1:16" ht="30.75" customHeight="1" x14ac:dyDescent="0.25">
      <c r="B16" s="612"/>
      <c r="C16" s="613"/>
      <c r="D16" s="613"/>
      <c r="E16" s="613"/>
      <c r="F16" s="613"/>
      <c r="G16" s="613"/>
      <c r="H16" s="613"/>
      <c r="I16" s="613"/>
      <c r="J16" s="613"/>
      <c r="K16" s="613"/>
      <c r="L16" s="614"/>
      <c r="M16" s="2"/>
      <c r="O16" s="11"/>
    </row>
    <row r="17" spans="1:17" x14ac:dyDescent="0.25">
      <c r="B17" s="159"/>
      <c r="C17" s="160"/>
      <c r="D17" s="25"/>
      <c r="E17" s="26"/>
      <c r="F17" s="26"/>
      <c r="G17" s="26"/>
      <c r="H17" s="26"/>
      <c r="I17" s="26"/>
      <c r="J17" s="26"/>
      <c r="K17" s="26"/>
      <c r="L17" s="27"/>
      <c r="M17" s="2"/>
      <c r="O17" s="11"/>
    </row>
    <row r="18" spans="1:17" x14ac:dyDescent="0.25">
      <c r="B18" s="159"/>
      <c r="C18" s="160"/>
      <c r="D18" s="2"/>
      <c r="E18" s="2"/>
      <c r="F18" s="25"/>
      <c r="G18" s="806">
        <f>Variables!B6</f>
        <v>2023</v>
      </c>
      <c r="H18" s="806">
        <f>G18+1</f>
        <v>2024</v>
      </c>
      <c r="I18" s="806">
        <f>H18+1</f>
        <v>2025</v>
      </c>
      <c r="J18" s="806" t="str">
        <f>IF(Intro!$G$21="English",Variables!B9,Variables!C9)</f>
        <v>Jan-Mar 2025</v>
      </c>
      <c r="K18" s="806" t="str">
        <f>IF(Intro!$G$21="English",Variables!B10,Variables!C10)</f>
        <v>Jan-Mar 2026</v>
      </c>
      <c r="L18" s="179"/>
      <c r="M18" s="2"/>
      <c r="O18" s="11"/>
    </row>
    <row r="19" spans="1:17" x14ac:dyDescent="0.25">
      <c r="B19" s="159"/>
      <c r="C19" s="160"/>
      <c r="D19" s="2"/>
      <c r="E19" s="2"/>
      <c r="F19" s="25"/>
      <c r="G19" s="806"/>
      <c r="H19" s="806"/>
      <c r="I19" s="806"/>
      <c r="J19" s="806"/>
      <c r="K19" s="806"/>
      <c r="L19" s="179"/>
      <c r="M19" s="2"/>
      <c r="O19" s="11"/>
    </row>
    <row r="20" spans="1:17" s="152" customFormat="1" x14ac:dyDescent="0.25">
      <c r="A20" s="173"/>
      <c r="B20" s="810" t="str">
        <f>IF(Intro!$G$21="English",O20,P20)</f>
        <v>Production for sale in Canada</v>
      </c>
      <c r="C20" s="811"/>
      <c r="D20" s="811"/>
      <c r="E20" s="812"/>
      <c r="F20" s="206" t="str">
        <f>IF(Intro!$G$21="English",Variables!$B$23,Variables!$C$23)</f>
        <v>MSF</v>
      </c>
      <c r="G20" s="263"/>
      <c r="H20" s="263"/>
      <c r="I20" s="263"/>
      <c r="J20" s="263"/>
      <c r="K20" s="263"/>
      <c r="L20" s="179"/>
      <c r="O20" s="157" t="s">
        <v>180</v>
      </c>
      <c r="P20" s="157" t="s">
        <v>179</v>
      </c>
      <c r="Q20" s="157"/>
    </row>
    <row r="21" spans="1:17" s="152" customFormat="1" x14ac:dyDescent="0.25">
      <c r="A21" s="173"/>
      <c r="B21" s="810" t="str">
        <f>IF(Intro!$G$21="English",O21,P21)</f>
        <v>Production for export sales</v>
      </c>
      <c r="C21" s="811"/>
      <c r="D21" s="811"/>
      <c r="E21" s="812"/>
      <c r="F21" s="206" t="str">
        <f>IF(Intro!$G$21="English",Variables!$B$23,Variables!$C$23)</f>
        <v>MSF</v>
      </c>
      <c r="G21" s="263"/>
      <c r="H21" s="263"/>
      <c r="I21" s="263"/>
      <c r="J21" s="263"/>
      <c r="K21" s="263"/>
      <c r="L21" s="179"/>
      <c r="O21" s="157" t="s">
        <v>181</v>
      </c>
      <c r="P21" s="157" t="s">
        <v>182</v>
      </c>
      <c r="Q21" s="157"/>
    </row>
    <row r="22" spans="1:17" s="157" customFormat="1" ht="14.25" customHeight="1" x14ac:dyDescent="0.25">
      <c r="A22" s="211"/>
      <c r="B22" s="810" t="str">
        <f>IF(Intro!$G$21="English",O22,P22)</f>
        <v>Production for internal use or further internal processing</v>
      </c>
      <c r="C22" s="811"/>
      <c r="D22" s="811"/>
      <c r="E22" s="812"/>
      <c r="F22" s="206" t="str">
        <f>IF(Intro!$G$21="English",Variables!$B$23,Variables!$C$23)</f>
        <v>MSF</v>
      </c>
      <c r="G22" s="263"/>
      <c r="H22" s="263"/>
      <c r="I22" s="263"/>
      <c r="J22" s="263"/>
      <c r="K22" s="263"/>
      <c r="L22" s="189"/>
      <c r="O22" s="157" t="s">
        <v>183</v>
      </c>
      <c r="P22" s="157" t="s">
        <v>414</v>
      </c>
    </row>
    <row r="23" spans="1:17" s="192" customFormat="1" x14ac:dyDescent="0.25">
      <c r="A23" s="191" t="s">
        <v>555</v>
      </c>
      <c r="B23" s="807" t="str">
        <f>IF(Intro!$G$21="English",O23,P23)</f>
        <v>Total production of the goods</v>
      </c>
      <c r="C23" s="808"/>
      <c r="D23" s="808"/>
      <c r="E23" s="809"/>
      <c r="F23" s="212" t="str">
        <f>IF(Intro!$G$21="English",Variables!$B$23,Variables!$C$23)</f>
        <v>MSF</v>
      </c>
      <c r="G23" s="264">
        <f>SUM(G20:G22)</f>
        <v>0</v>
      </c>
      <c r="H23" s="264">
        <f>SUM(H20:H22)</f>
        <v>0</v>
      </c>
      <c r="I23" s="264">
        <f>SUM(I20:I22)</f>
        <v>0</v>
      </c>
      <c r="J23" s="264">
        <f>SUM(J20:J22)</f>
        <v>0</v>
      </c>
      <c r="K23" s="264">
        <f>SUM(K20:K22)</f>
        <v>0</v>
      </c>
      <c r="L23" s="179"/>
      <c r="O23" s="200" t="s">
        <v>128</v>
      </c>
      <c r="P23" s="200" t="s">
        <v>129</v>
      </c>
      <c r="Q23" s="200"/>
    </row>
    <row r="24" spans="1:17" s="152" customFormat="1" ht="14.25" customHeight="1" x14ac:dyDescent="0.25">
      <c r="A24" s="173"/>
      <c r="B24" s="810" t="str">
        <f>IF(Intro!$G$21="English",O24,P24)</f>
        <v>Production of other products produced using the same equipment</v>
      </c>
      <c r="C24" s="811"/>
      <c r="D24" s="811"/>
      <c r="E24" s="812"/>
      <c r="F24" s="206" t="str">
        <f>IF(Intro!$G$21="English",Variables!$B$23,Variables!$C$23)</f>
        <v>MSF</v>
      </c>
      <c r="G24" s="263"/>
      <c r="H24" s="263"/>
      <c r="I24" s="263"/>
      <c r="J24" s="263"/>
      <c r="K24" s="263"/>
      <c r="L24" s="179"/>
      <c r="O24" s="157" t="s">
        <v>184</v>
      </c>
      <c r="P24" s="157" t="s">
        <v>185</v>
      </c>
      <c r="Q24" s="157"/>
    </row>
    <row r="25" spans="1:17" s="192" customFormat="1" x14ac:dyDescent="0.25">
      <c r="A25" s="191"/>
      <c r="B25" s="807" t="str">
        <f>IF(Intro!$G$21="English",O25,P25)</f>
        <v>Total</v>
      </c>
      <c r="C25" s="808"/>
      <c r="D25" s="808"/>
      <c r="E25" s="809"/>
      <c r="F25" s="212" t="str">
        <f>IF(Intro!$G$21="English",Variables!$B$23,Variables!$C$23)</f>
        <v>MSF</v>
      </c>
      <c r="G25" s="264">
        <f>SUM(G23,G24)</f>
        <v>0</v>
      </c>
      <c r="H25" s="264">
        <f>SUM(H23,H24)</f>
        <v>0</v>
      </c>
      <c r="I25" s="264">
        <f>SUM(I23,I24)</f>
        <v>0</v>
      </c>
      <c r="J25" s="264">
        <f>SUM(J23,J24)</f>
        <v>0</v>
      </c>
      <c r="K25" s="264">
        <f>SUM(K23,K24)</f>
        <v>0</v>
      </c>
      <c r="L25" s="179"/>
      <c r="O25" s="200" t="s">
        <v>45</v>
      </c>
      <c r="P25" s="200" t="s">
        <v>45</v>
      </c>
      <c r="Q25" s="200"/>
    </row>
    <row r="26" spans="1:17" s="152" customFormat="1" x14ac:dyDescent="0.25">
      <c r="A26" s="173"/>
      <c r="B26" s="810" t="str">
        <f>IF(Intro!$G$21="English",O26,P26)</f>
        <v>Practical plant capacity</v>
      </c>
      <c r="C26" s="811"/>
      <c r="D26" s="811"/>
      <c r="E26" s="812"/>
      <c r="F26" s="206" t="str">
        <f>IF(Intro!$G$21="English",Variables!$B$23,Variables!$C$23)</f>
        <v>MSF</v>
      </c>
      <c r="G26" s="263"/>
      <c r="H26" s="263"/>
      <c r="I26" s="263"/>
      <c r="J26" s="263"/>
      <c r="K26" s="263"/>
      <c r="L26" s="179"/>
      <c r="O26" s="157" t="s">
        <v>374</v>
      </c>
      <c r="P26" s="157" t="s">
        <v>191</v>
      </c>
      <c r="Q26" s="157"/>
    </row>
    <row r="27" spans="1:17" s="192" customFormat="1" x14ac:dyDescent="0.25">
      <c r="A27" s="191"/>
      <c r="B27" s="807" t="str">
        <f>IF(Intro!$G$21="English",O27,P27)</f>
        <v>Capacity utilization rate of the goods</v>
      </c>
      <c r="C27" s="808"/>
      <c r="D27" s="808"/>
      <c r="E27" s="809"/>
      <c r="F27" s="212" t="s">
        <v>188</v>
      </c>
      <c r="G27" s="264" t="str">
        <f>IF(G26=0,"-",G23/G26*100)</f>
        <v>-</v>
      </c>
      <c r="H27" s="264" t="str">
        <f>IF(H26=0,"-",H23/H26*100)</f>
        <v>-</v>
      </c>
      <c r="I27" s="264" t="str">
        <f>IF(I26=0,"-",I23/I26*100)</f>
        <v>-</v>
      </c>
      <c r="J27" s="264" t="str">
        <f>IF(J26=0,"-",J23/J26*100)</f>
        <v>-</v>
      </c>
      <c r="K27" s="264" t="str">
        <f>IF(K26=0,"-",K23/K26*100)</f>
        <v>-</v>
      </c>
      <c r="L27" s="179"/>
      <c r="O27" s="200" t="s">
        <v>186</v>
      </c>
      <c r="P27" s="200" t="s">
        <v>187</v>
      </c>
      <c r="Q27" s="200"/>
    </row>
    <row r="28" spans="1:17" s="192" customFormat="1" x14ac:dyDescent="0.25">
      <c r="A28" s="191"/>
      <c r="B28" s="807" t="str">
        <f>IF(Intro!$G$21="English",O28,P28)</f>
        <v>Total capacity utilization rate</v>
      </c>
      <c r="C28" s="808"/>
      <c r="D28" s="808"/>
      <c r="E28" s="809"/>
      <c r="F28" s="212" t="s">
        <v>188</v>
      </c>
      <c r="G28" s="264" t="str">
        <f>IF(G26=0,"-",G25/G26*100)</f>
        <v>-</v>
      </c>
      <c r="H28" s="264" t="str">
        <f t="shared" ref="H28:I28" si="0">IF(H26=0,"-",H25/H26*100)</f>
        <v>-</v>
      </c>
      <c r="I28" s="264" t="str">
        <f t="shared" si="0"/>
        <v>-</v>
      </c>
      <c r="J28" s="264" t="str">
        <f t="shared" ref="J28:K28" si="1">IF(J26=0,"-",J25/J26*100)</f>
        <v>-</v>
      </c>
      <c r="K28" s="264" t="str">
        <f t="shared" si="1"/>
        <v>-</v>
      </c>
      <c r="L28" s="179"/>
      <c r="O28" s="200" t="s">
        <v>189</v>
      </c>
      <c r="P28" s="200" t="s">
        <v>190</v>
      </c>
      <c r="Q28" s="200"/>
    </row>
    <row r="29" spans="1:17" s="152" customFormat="1" x14ac:dyDescent="0.25">
      <c r="A29" s="173"/>
      <c r="B29" s="187"/>
      <c r="C29" s="188"/>
      <c r="D29" s="188"/>
      <c r="E29" s="188"/>
      <c r="F29" s="188"/>
      <c r="G29" s="188"/>
      <c r="H29" s="188"/>
      <c r="I29" s="188"/>
      <c r="J29" s="188"/>
      <c r="K29" s="188"/>
      <c r="L29" s="186"/>
    </row>
    <row r="30" spans="1:17" s="3" customFormat="1" x14ac:dyDescent="0.25">
      <c r="A30" s="12"/>
      <c r="B30" s="711" t="s">
        <v>21</v>
      </c>
      <c r="C30" s="712"/>
      <c r="D30" s="712"/>
      <c r="E30" s="712"/>
      <c r="F30" s="712"/>
      <c r="G30" s="712"/>
      <c r="H30" s="712"/>
      <c r="I30" s="712"/>
      <c r="J30" s="712"/>
      <c r="K30" s="712"/>
      <c r="L30" s="713"/>
      <c r="M30" s="168"/>
    </row>
    <row r="31" spans="1:17" s="152" customFormat="1" x14ac:dyDescent="0.25">
      <c r="A31" s="173"/>
      <c r="B31" s="185"/>
      <c r="C31" s="174"/>
      <c r="D31" s="174"/>
      <c r="E31" s="174"/>
      <c r="F31" s="174"/>
      <c r="G31" s="174"/>
      <c r="H31" s="174"/>
      <c r="I31" s="174"/>
      <c r="J31" s="174"/>
      <c r="K31" s="174"/>
      <c r="L31" s="175"/>
    </row>
    <row r="32" spans="1:17" s="152" customFormat="1" x14ac:dyDescent="0.25">
      <c r="A32" s="173"/>
      <c r="B32" s="612" t="str">
        <f>IF(Intro!$G$21="English",O32,P32)</f>
        <v xml:space="preserve">Explain in detail how your firm determines practical plant capacity. </v>
      </c>
      <c r="C32" s="613"/>
      <c r="D32" s="613"/>
      <c r="E32" s="613"/>
      <c r="F32" s="613"/>
      <c r="G32" s="613"/>
      <c r="H32" s="613"/>
      <c r="I32" s="613"/>
      <c r="J32" s="613"/>
      <c r="K32" s="613"/>
      <c r="L32" s="614"/>
      <c r="O32" s="152" t="s">
        <v>152</v>
      </c>
      <c r="P32" s="152" t="s">
        <v>153</v>
      </c>
    </row>
    <row r="33" spans="1:16" s="152" customFormat="1" x14ac:dyDescent="0.25">
      <c r="A33" s="173"/>
      <c r="B33" s="185"/>
      <c r="C33" s="174"/>
      <c r="D33" s="174"/>
      <c r="E33" s="174"/>
      <c r="F33" s="174"/>
      <c r="G33" s="174"/>
      <c r="H33" s="174"/>
      <c r="I33" s="174"/>
      <c r="J33" s="174"/>
      <c r="K33" s="174"/>
      <c r="L33" s="175"/>
    </row>
    <row r="34" spans="1:16" s="3" customFormat="1" x14ac:dyDescent="0.25">
      <c r="A34" s="12"/>
      <c r="B34" s="705"/>
      <c r="C34" s="706"/>
      <c r="D34" s="706"/>
      <c r="E34" s="706"/>
      <c r="F34" s="706"/>
      <c r="G34" s="706"/>
      <c r="H34" s="706"/>
      <c r="I34" s="706"/>
      <c r="J34" s="706"/>
      <c r="K34" s="706"/>
      <c r="L34" s="707"/>
      <c r="M34" s="152"/>
      <c r="O34" s="154"/>
      <c r="P34" s="154"/>
    </row>
    <row r="35" spans="1:16" s="3" customFormat="1" x14ac:dyDescent="0.25">
      <c r="A35" s="12"/>
      <c r="B35" s="705"/>
      <c r="C35" s="706"/>
      <c r="D35" s="706"/>
      <c r="E35" s="706"/>
      <c r="F35" s="706"/>
      <c r="G35" s="706"/>
      <c r="H35" s="706"/>
      <c r="I35" s="706"/>
      <c r="J35" s="706"/>
      <c r="K35" s="706"/>
      <c r="L35" s="707"/>
      <c r="M35" s="152"/>
      <c r="O35" s="154"/>
      <c r="P35" s="154"/>
    </row>
    <row r="36" spans="1:16" s="3" customFormat="1" x14ac:dyDescent="0.25">
      <c r="A36" s="12"/>
      <c r="B36" s="705"/>
      <c r="C36" s="706"/>
      <c r="D36" s="706"/>
      <c r="E36" s="706"/>
      <c r="F36" s="706"/>
      <c r="G36" s="706"/>
      <c r="H36" s="706"/>
      <c r="I36" s="706"/>
      <c r="J36" s="706"/>
      <c r="K36" s="706"/>
      <c r="L36" s="707"/>
      <c r="M36" s="152"/>
      <c r="O36" s="154"/>
      <c r="P36" s="154"/>
    </row>
    <row r="37" spans="1:16" s="3" customFormat="1" x14ac:dyDescent="0.25">
      <c r="A37" s="12"/>
      <c r="B37" s="705"/>
      <c r="C37" s="706"/>
      <c r="D37" s="706"/>
      <c r="E37" s="706"/>
      <c r="F37" s="706"/>
      <c r="G37" s="706"/>
      <c r="H37" s="706"/>
      <c r="I37" s="706"/>
      <c r="J37" s="706"/>
      <c r="K37" s="706"/>
      <c r="L37" s="707"/>
      <c r="M37" s="152"/>
      <c r="O37" s="154"/>
      <c r="P37" s="154"/>
    </row>
    <row r="38" spans="1:16" s="3" customFormat="1" x14ac:dyDescent="0.25">
      <c r="A38" s="12"/>
      <c r="B38" s="705"/>
      <c r="C38" s="706"/>
      <c r="D38" s="706"/>
      <c r="E38" s="706"/>
      <c r="F38" s="706"/>
      <c r="G38" s="706"/>
      <c r="H38" s="706"/>
      <c r="I38" s="706"/>
      <c r="J38" s="706"/>
      <c r="K38" s="706"/>
      <c r="L38" s="707"/>
      <c r="M38" s="152"/>
      <c r="O38" s="154"/>
      <c r="P38" s="154"/>
    </row>
    <row r="39" spans="1:16" s="3" customFormat="1" x14ac:dyDescent="0.25">
      <c r="A39" s="12"/>
      <c r="B39" s="705"/>
      <c r="C39" s="706"/>
      <c r="D39" s="706"/>
      <c r="E39" s="706"/>
      <c r="F39" s="706"/>
      <c r="G39" s="706"/>
      <c r="H39" s="706"/>
      <c r="I39" s="706"/>
      <c r="J39" s="706"/>
      <c r="K39" s="706"/>
      <c r="L39" s="707"/>
      <c r="M39" s="152"/>
      <c r="O39" s="154"/>
      <c r="P39" s="154"/>
    </row>
    <row r="40" spans="1:16" s="3" customFormat="1" x14ac:dyDescent="0.25">
      <c r="A40" s="12"/>
      <c r="B40" s="705"/>
      <c r="C40" s="706"/>
      <c r="D40" s="706"/>
      <c r="E40" s="706"/>
      <c r="F40" s="706"/>
      <c r="G40" s="706"/>
      <c r="H40" s="706"/>
      <c r="I40" s="706"/>
      <c r="J40" s="706"/>
      <c r="K40" s="706"/>
      <c r="L40" s="707"/>
      <c r="M40" s="152"/>
      <c r="O40" s="154"/>
      <c r="P40" s="154"/>
    </row>
    <row r="41" spans="1:16" s="3" customFormat="1" x14ac:dyDescent="0.25">
      <c r="A41" s="12"/>
      <c r="B41" s="705"/>
      <c r="C41" s="706"/>
      <c r="D41" s="706"/>
      <c r="E41" s="706"/>
      <c r="F41" s="706"/>
      <c r="G41" s="706"/>
      <c r="H41" s="706"/>
      <c r="I41" s="706"/>
      <c r="J41" s="706"/>
      <c r="K41" s="706"/>
      <c r="L41" s="707"/>
      <c r="M41" s="152"/>
      <c r="O41" s="154"/>
      <c r="P41" s="154"/>
    </row>
    <row r="42" spans="1:16" s="152" customFormat="1" x14ac:dyDescent="0.25">
      <c r="A42" s="173"/>
      <c r="B42" s="187"/>
      <c r="C42" s="188"/>
      <c r="D42" s="188"/>
      <c r="E42" s="188"/>
      <c r="F42" s="188"/>
      <c r="G42" s="188"/>
      <c r="H42" s="188"/>
      <c r="I42" s="188"/>
      <c r="J42" s="188"/>
      <c r="K42" s="188"/>
      <c r="L42" s="186"/>
    </row>
    <row r="43" spans="1:16" s="3" customFormat="1" x14ac:dyDescent="0.25">
      <c r="A43" s="12"/>
      <c r="B43" s="711" t="s">
        <v>26</v>
      </c>
      <c r="C43" s="712"/>
      <c r="D43" s="712"/>
      <c r="E43" s="712"/>
      <c r="F43" s="712"/>
      <c r="G43" s="712"/>
      <c r="H43" s="712"/>
      <c r="I43" s="712"/>
      <c r="J43" s="712"/>
      <c r="K43" s="712"/>
      <c r="L43" s="713"/>
      <c r="M43" s="168"/>
    </row>
    <row r="44" spans="1:16" s="152" customFormat="1" x14ac:dyDescent="0.25">
      <c r="A44" s="173"/>
      <c r="B44" s="185"/>
      <c r="C44" s="174"/>
      <c r="D44" s="174"/>
      <c r="E44" s="174"/>
      <c r="F44" s="174"/>
      <c r="G44" s="174"/>
      <c r="H44" s="174"/>
      <c r="I44" s="174"/>
      <c r="J44" s="174"/>
      <c r="K44" s="174"/>
      <c r="L44" s="175"/>
    </row>
    <row r="45" spans="1:16" s="152" customFormat="1" x14ac:dyDescent="0.25">
      <c r="A45" s="173"/>
      <c r="B45" s="612" t="str">
        <f>IF(Intro!$G$21="English",O45,P45)</f>
        <v xml:space="preserve">If any of the calculated capacity utilization rates are higher than 100%, explain why this has occurred.
</v>
      </c>
      <c r="C45" s="613"/>
      <c r="D45" s="613"/>
      <c r="E45" s="613"/>
      <c r="F45" s="613"/>
      <c r="G45" s="613"/>
      <c r="H45" s="613"/>
      <c r="I45" s="613"/>
      <c r="J45" s="613"/>
      <c r="K45" s="613"/>
      <c r="L45" s="614"/>
      <c r="O45" s="152" t="s">
        <v>337</v>
      </c>
      <c r="P45" s="152" t="s">
        <v>589</v>
      </c>
    </row>
    <row r="46" spans="1:16" s="152" customFormat="1" x14ac:dyDescent="0.25">
      <c r="A46" s="173"/>
      <c r="B46" s="185"/>
      <c r="C46" s="174"/>
      <c r="D46" s="174"/>
      <c r="E46" s="174"/>
      <c r="F46" s="174"/>
      <c r="G46" s="174"/>
      <c r="H46" s="174"/>
      <c r="I46" s="174"/>
      <c r="J46" s="174"/>
      <c r="K46" s="174"/>
      <c r="L46" s="175"/>
    </row>
    <row r="47" spans="1:16" s="3" customFormat="1" x14ac:dyDescent="0.25">
      <c r="A47" s="12"/>
      <c r="B47" s="705"/>
      <c r="C47" s="706"/>
      <c r="D47" s="706"/>
      <c r="E47" s="706"/>
      <c r="F47" s="706"/>
      <c r="G47" s="706"/>
      <c r="H47" s="706"/>
      <c r="I47" s="706"/>
      <c r="J47" s="706"/>
      <c r="K47" s="706"/>
      <c r="L47" s="707"/>
      <c r="M47" s="152"/>
      <c r="O47" s="154"/>
      <c r="P47" s="154"/>
    </row>
    <row r="48" spans="1:16" s="3" customFormat="1" x14ac:dyDescent="0.25">
      <c r="A48" s="12"/>
      <c r="B48" s="705"/>
      <c r="C48" s="706"/>
      <c r="D48" s="706"/>
      <c r="E48" s="706"/>
      <c r="F48" s="706"/>
      <c r="G48" s="706"/>
      <c r="H48" s="706"/>
      <c r="I48" s="706"/>
      <c r="J48" s="706"/>
      <c r="K48" s="706"/>
      <c r="L48" s="707"/>
      <c r="M48" s="152"/>
      <c r="O48" s="154"/>
      <c r="P48" s="154"/>
    </row>
    <row r="49" spans="1:16" s="3" customFormat="1" x14ac:dyDescent="0.25">
      <c r="A49" s="12"/>
      <c r="B49" s="705"/>
      <c r="C49" s="706"/>
      <c r="D49" s="706"/>
      <c r="E49" s="706"/>
      <c r="F49" s="706"/>
      <c r="G49" s="706"/>
      <c r="H49" s="706"/>
      <c r="I49" s="706"/>
      <c r="J49" s="706"/>
      <c r="K49" s="706"/>
      <c r="L49" s="707"/>
      <c r="M49" s="152"/>
      <c r="O49" s="154"/>
      <c r="P49" s="154"/>
    </row>
    <row r="50" spans="1:16" s="3" customFormat="1" x14ac:dyDescent="0.25">
      <c r="A50" s="12"/>
      <c r="B50" s="705"/>
      <c r="C50" s="706"/>
      <c r="D50" s="706"/>
      <c r="E50" s="706"/>
      <c r="F50" s="706"/>
      <c r="G50" s="706"/>
      <c r="H50" s="706"/>
      <c r="I50" s="706"/>
      <c r="J50" s="706"/>
      <c r="K50" s="706"/>
      <c r="L50" s="707"/>
      <c r="M50" s="152"/>
      <c r="O50" s="154"/>
      <c r="P50" s="154"/>
    </row>
    <row r="51" spans="1:16" s="3" customFormat="1" x14ac:dyDescent="0.25">
      <c r="A51" s="12"/>
      <c r="B51" s="705"/>
      <c r="C51" s="706"/>
      <c r="D51" s="706"/>
      <c r="E51" s="706"/>
      <c r="F51" s="706"/>
      <c r="G51" s="706"/>
      <c r="H51" s="706"/>
      <c r="I51" s="706"/>
      <c r="J51" s="706"/>
      <c r="K51" s="706"/>
      <c r="L51" s="707"/>
      <c r="M51" s="152"/>
      <c r="O51" s="154"/>
      <c r="P51" s="154"/>
    </row>
    <row r="52" spans="1:16" s="3" customFormat="1" x14ac:dyDescent="0.25">
      <c r="A52" s="12"/>
      <c r="B52" s="705"/>
      <c r="C52" s="706"/>
      <c r="D52" s="706"/>
      <c r="E52" s="706"/>
      <c r="F52" s="706"/>
      <c r="G52" s="706"/>
      <c r="H52" s="706"/>
      <c r="I52" s="706"/>
      <c r="J52" s="706"/>
      <c r="K52" s="706"/>
      <c r="L52" s="707"/>
      <c r="M52" s="152"/>
      <c r="O52" s="154"/>
      <c r="P52" s="154"/>
    </row>
    <row r="53" spans="1:16" s="3" customFormat="1" x14ac:dyDescent="0.25">
      <c r="A53" s="12"/>
      <c r="B53" s="705"/>
      <c r="C53" s="706"/>
      <c r="D53" s="706"/>
      <c r="E53" s="706"/>
      <c r="F53" s="706"/>
      <c r="G53" s="706"/>
      <c r="H53" s="706"/>
      <c r="I53" s="706"/>
      <c r="J53" s="706"/>
      <c r="K53" s="706"/>
      <c r="L53" s="707"/>
      <c r="M53" s="152"/>
      <c r="O53" s="154"/>
      <c r="P53" s="154"/>
    </row>
    <row r="54" spans="1:16" s="3" customFormat="1" x14ac:dyDescent="0.25">
      <c r="A54" s="12"/>
      <c r="B54" s="705"/>
      <c r="C54" s="706"/>
      <c r="D54" s="706"/>
      <c r="E54" s="706"/>
      <c r="F54" s="706"/>
      <c r="G54" s="706"/>
      <c r="H54" s="706"/>
      <c r="I54" s="706"/>
      <c r="J54" s="706"/>
      <c r="K54" s="706"/>
      <c r="L54" s="707"/>
      <c r="M54" s="152"/>
      <c r="O54" s="154"/>
      <c r="P54" s="154"/>
    </row>
    <row r="55" spans="1:16" s="152" customFormat="1" x14ac:dyDescent="0.25">
      <c r="A55" s="173"/>
      <c r="B55" s="187"/>
      <c r="C55" s="188"/>
      <c r="D55" s="188"/>
      <c r="E55" s="188"/>
      <c r="F55" s="188"/>
      <c r="G55" s="188"/>
      <c r="H55" s="188"/>
      <c r="I55" s="188"/>
      <c r="J55" s="188"/>
      <c r="K55" s="188"/>
      <c r="L55" s="186"/>
    </row>
    <row r="56" spans="1:16" s="3" customFormat="1" x14ac:dyDescent="0.25">
      <c r="A56" s="12"/>
      <c r="B56" s="711" t="s">
        <v>27</v>
      </c>
      <c r="C56" s="712"/>
      <c r="D56" s="712"/>
      <c r="E56" s="712"/>
      <c r="F56" s="712"/>
      <c r="G56" s="712"/>
      <c r="H56" s="712"/>
      <c r="I56" s="712"/>
      <c r="J56" s="712"/>
      <c r="K56" s="712"/>
      <c r="L56" s="713"/>
      <c r="M56" s="168"/>
    </row>
    <row r="57" spans="1:16" s="152" customFormat="1" x14ac:dyDescent="0.25">
      <c r="A57" s="173"/>
      <c r="B57" s="185"/>
      <c r="C57" s="174"/>
      <c r="D57" s="174"/>
      <c r="E57" s="174"/>
      <c r="F57" s="174"/>
      <c r="G57" s="174"/>
      <c r="H57" s="174"/>
      <c r="I57" s="174"/>
      <c r="J57" s="174"/>
      <c r="K57" s="174"/>
      <c r="L57" s="175"/>
    </row>
    <row r="58" spans="1:16" s="152" customFormat="1" x14ac:dyDescent="0.25">
      <c r="A58" s="173"/>
      <c r="B58" s="612" t="str">
        <f>IF(Intro!$G$21="English",O58,P58)</f>
        <v>If practical plant capacity has changed since 2023, explain how this was achieved.</v>
      </c>
      <c r="C58" s="613"/>
      <c r="D58" s="613"/>
      <c r="E58" s="613"/>
      <c r="F58" s="613"/>
      <c r="G58" s="613"/>
      <c r="H58" s="613"/>
      <c r="I58" s="613"/>
      <c r="J58" s="613"/>
      <c r="K58" s="613"/>
      <c r="L58" s="614"/>
      <c r="O58" s="152" t="str">
        <f>"If practical plant capacity has changed since "&amp;Variables!$B$6&amp;", explain how this was achieved."</f>
        <v>If practical plant capacity has changed since 2023, explain how this was achieved.</v>
      </c>
      <c r="P58" s="152" t="str">
        <f>"Si la capacité pratique de l’usine a changé depuis le 1er janvier "&amp;Variables!B6&amp;", expliquez comment cela a été réalisé."</f>
        <v>Si la capacité pratique de l’usine a changé depuis le 1er janvier 2023, expliquez comment cela a été réalisé.</v>
      </c>
    </row>
    <row r="59" spans="1:16" s="152" customFormat="1" x14ac:dyDescent="0.25">
      <c r="A59" s="173"/>
      <c r="B59" s="185"/>
      <c r="C59" s="174"/>
      <c r="D59" s="174"/>
      <c r="E59" s="174"/>
      <c r="F59" s="174"/>
      <c r="G59" s="174"/>
      <c r="H59" s="174"/>
      <c r="I59" s="174"/>
      <c r="J59" s="174"/>
      <c r="K59" s="174"/>
      <c r="L59" s="175"/>
    </row>
    <row r="60" spans="1:16" s="3" customFormat="1" x14ac:dyDescent="0.25">
      <c r="A60" s="12"/>
      <c r="B60" s="705"/>
      <c r="C60" s="706"/>
      <c r="D60" s="706"/>
      <c r="E60" s="706"/>
      <c r="F60" s="706"/>
      <c r="G60" s="706"/>
      <c r="H60" s="706"/>
      <c r="I60" s="706"/>
      <c r="J60" s="706"/>
      <c r="K60" s="706"/>
      <c r="L60" s="707"/>
      <c r="M60" s="152"/>
      <c r="O60" s="154"/>
      <c r="P60" s="154"/>
    </row>
    <row r="61" spans="1:16" s="3" customFormat="1" x14ac:dyDescent="0.25">
      <c r="A61" s="12"/>
      <c r="B61" s="705"/>
      <c r="C61" s="706"/>
      <c r="D61" s="706"/>
      <c r="E61" s="706"/>
      <c r="F61" s="706"/>
      <c r="G61" s="706"/>
      <c r="H61" s="706"/>
      <c r="I61" s="706"/>
      <c r="J61" s="706"/>
      <c r="K61" s="706"/>
      <c r="L61" s="707"/>
      <c r="M61" s="152"/>
      <c r="O61" s="154"/>
      <c r="P61" s="154"/>
    </row>
    <row r="62" spans="1:16" s="3" customFormat="1" x14ac:dyDescent="0.25">
      <c r="A62" s="12"/>
      <c r="B62" s="705"/>
      <c r="C62" s="706"/>
      <c r="D62" s="706"/>
      <c r="E62" s="706"/>
      <c r="F62" s="706"/>
      <c r="G62" s="706"/>
      <c r="H62" s="706"/>
      <c r="I62" s="706"/>
      <c r="J62" s="706"/>
      <c r="K62" s="706"/>
      <c r="L62" s="707"/>
      <c r="M62" s="152"/>
      <c r="O62" s="154"/>
      <c r="P62" s="154"/>
    </row>
    <row r="63" spans="1:16" s="3" customFormat="1" x14ac:dyDescent="0.25">
      <c r="A63" s="12"/>
      <c r="B63" s="705"/>
      <c r="C63" s="706"/>
      <c r="D63" s="706"/>
      <c r="E63" s="706"/>
      <c r="F63" s="706"/>
      <c r="G63" s="706"/>
      <c r="H63" s="706"/>
      <c r="I63" s="706"/>
      <c r="J63" s="706"/>
      <c r="K63" s="706"/>
      <c r="L63" s="707"/>
      <c r="M63" s="152"/>
      <c r="O63" s="154"/>
      <c r="P63" s="154"/>
    </row>
    <row r="64" spans="1:16" s="3" customFormat="1" x14ac:dyDescent="0.25">
      <c r="A64" s="12"/>
      <c r="B64" s="705"/>
      <c r="C64" s="706"/>
      <c r="D64" s="706"/>
      <c r="E64" s="706"/>
      <c r="F64" s="706"/>
      <c r="G64" s="706"/>
      <c r="H64" s="706"/>
      <c r="I64" s="706"/>
      <c r="J64" s="706"/>
      <c r="K64" s="706"/>
      <c r="L64" s="707"/>
      <c r="M64" s="152"/>
      <c r="O64" s="154"/>
      <c r="P64" s="154"/>
    </row>
    <row r="65" spans="1:16" s="3" customFormat="1" x14ac:dyDescent="0.25">
      <c r="A65" s="12"/>
      <c r="B65" s="705"/>
      <c r="C65" s="706"/>
      <c r="D65" s="706"/>
      <c r="E65" s="706"/>
      <c r="F65" s="706"/>
      <c r="G65" s="706"/>
      <c r="H65" s="706"/>
      <c r="I65" s="706"/>
      <c r="J65" s="706"/>
      <c r="K65" s="706"/>
      <c r="L65" s="707"/>
      <c r="M65" s="152"/>
      <c r="O65" s="154"/>
      <c r="P65" s="154"/>
    </row>
    <row r="66" spans="1:16" s="3" customFormat="1" x14ac:dyDescent="0.25">
      <c r="A66" s="12"/>
      <c r="B66" s="705"/>
      <c r="C66" s="706"/>
      <c r="D66" s="706"/>
      <c r="E66" s="706"/>
      <c r="F66" s="706"/>
      <c r="G66" s="706"/>
      <c r="H66" s="706"/>
      <c r="I66" s="706"/>
      <c r="J66" s="706"/>
      <c r="K66" s="706"/>
      <c r="L66" s="707"/>
      <c r="M66" s="152"/>
      <c r="O66" s="154"/>
      <c r="P66" s="154"/>
    </row>
    <row r="67" spans="1:16" s="3" customFormat="1" x14ac:dyDescent="0.25">
      <c r="A67" s="12"/>
      <c r="B67" s="705"/>
      <c r="C67" s="706"/>
      <c r="D67" s="706"/>
      <c r="E67" s="706"/>
      <c r="F67" s="706"/>
      <c r="G67" s="706"/>
      <c r="H67" s="706"/>
      <c r="I67" s="706"/>
      <c r="J67" s="706"/>
      <c r="K67" s="706"/>
      <c r="L67" s="707"/>
      <c r="M67" s="152"/>
      <c r="O67" s="154"/>
      <c r="P67" s="154"/>
    </row>
    <row r="68" spans="1:16" s="152" customFormat="1" x14ac:dyDescent="0.25">
      <c r="A68" s="173"/>
      <c r="B68" s="187"/>
      <c r="C68" s="188"/>
      <c r="D68" s="188"/>
      <c r="E68" s="188"/>
      <c r="F68" s="188"/>
      <c r="G68" s="188"/>
      <c r="H68" s="188"/>
      <c r="I68" s="188"/>
      <c r="J68" s="188"/>
      <c r="K68" s="188"/>
      <c r="L68" s="186"/>
    </row>
    <row r="69" spans="1:16" s="3" customFormat="1" x14ac:dyDescent="0.25">
      <c r="A69" s="12"/>
      <c r="B69" s="711" t="s">
        <v>28</v>
      </c>
      <c r="C69" s="712"/>
      <c r="D69" s="712"/>
      <c r="E69" s="712"/>
      <c r="F69" s="712"/>
      <c r="G69" s="712"/>
      <c r="H69" s="712"/>
      <c r="I69" s="712"/>
      <c r="J69" s="712"/>
      <c r="K69" s="712"/>
      <c r="L69" s="713"/>
      <c r="M69" s="168"/>
    </row>
    <row r="70" spans="1:16" s="152" customFormat="1" x14ac:dyDescent="0.25">
      <c r="A70" s="173"/>
      <c r="B70" s="185"/>
      <c r="C70" s="174"/>
      <c r="D70" s="174"/>
      <c r="E70" s="174"/>
      <c r="F70" s="174"/>
      <c r="G70" s="174"/>
      <c r="H70" s="174"/>
      <c r="I70" s="174"/>
      <c r="J70" s="174"/>
      <c r="K70" s="174"/>
      <c r="L70" s="175"/>
    </row>
    <row r="71" spans="1:16" s="152" customFormat="1" x14ac:dyDescent="0.25">
      <c r="A71" s="173"/>
      <c r="B71" s="612" t="str">
        <f>IF(Intro!$G$21="English",O71,P71)</f>
        <v>Does your firm have any plans to increase or decrease its practical plant capacity of the goods in the next two years? Include target dates, target practical plant capacity, the plants involved and the reasons for the change.</v>
      </c>
      <c r="C71" s="613"/>
      <c r="D71" s="613"/>
      <c r="E71" s="613"/>
      <c r="F71" s="613"/>
      <c r="G71" s="613"/>
      <c r="H71" s="613"/>
      <c r="I71" s="613"/>
      <c r="J71" s="613"/>
      <c r="K71" s="613"/>
      <c r="L71" s="614"/>
      <c r="O71" s="152" t="s">
        <v>411</v>
      </c>
      <c r="P71" s="152" t="s">
        <v>347</v>
      </c>
    </row>
    <row r="72" spans="1:16" s="152" customFormat="1" x14ac:dyDescent="0.25">
      <c r="A72" s="173"/>
      <c r="B72" s="612"/>
      <c r="C72" s="613"/>
      <c r="D72" s="613"/>
      <c r="E72" s="613"/>
      <c r="F72" s="613"/>
      <c r="G72" s="613"/>
      <c r="H72" s="613"/>
      <c r="I72" s="613"/>
      <c r="J72" s="613"/>
      <c r="K72" s="613"/>
      <c r="L72" s="614"/>
    </row>
    <row r="73" spans="1:16" s="152" customFormat="1" x14ac:dyDescent="0.25">
      <c r="A73" s="173"/>
      <c r="B73" s="185"/>
      <c r="C73" s="174"/>
      <c r="D73" s="174"/>
      <c r="E73" s="174"/>
      <c r="F73" s="174"/>
      <c r="G73" s="174"/>
      <c r="H73" s="174"/>
      <c r="I73" s="174"/>
      <c r="J73" s="174"/>
      <c r="K73" s="174"/>
      <c r="L73" s="175"/>
    </row>
    <row r="74" spans="1:16" s="3" customFormat="1" x14ac:dyDescent="0.25">
      <c r="A74" s="12"/>
      <c r="B74" s="705"/>
      <c r="C74" s="706"/>
      <c r="D74" s="706"/>
      <c r="E74" s="706"/>
      <c r="F74" s="706"/>
      <c r="G74" s="706"/>
      <c r="H74" s="706"/>
      <c r="I74" s="706"/>
      <c r="J74" s="706"/>
      <c r="K74" s="706"/>
      <c r="L74" s="707"/>
      <c r="M74" s="152"/>
      <c r="O74" s="154"/>
      <c r="P74" s="154"/>
    </row>
    <row r="75" spans="1:16" s="3" customFormat="1" x14ac:dyDescent="0.25">
      <c r="A75" s="12"/>
      <c r="B75" s="705"/>
      <c r="C75" s="706"/>
      <c r="D75" s="706"/>
      <c r="E75" s="706"/>
      <c r="F75" s="706"/>
      <c r="G75" s="706"/>
      <c r="H75" s="706"/>
      <c r="I75" s="706"/>
      <c r="J75" s="706"/>
      <c r="K75" s="706"/>
      <c r="L75" s="707"/>
      <c r="M75" s="152"/>
      <c r="O75" s="154"/>
      <c r="P75" s="154"/>
    </row>
    <row r="76" spans="1:16" s="3" customFormat="1" x14ac:dyDescent="0.25">
      <c r="A76" s="12"/>
      <c r="B76" s="705"/>
      <c r="C76" s="706"/>
      <c r="D76" s="706"/>
      <c r="E76" s="706"/>
      <c r="F76" s="706"/>
      <c r="G76" s="706"/>
      <c r="H76" s="706"/>
      <c r="I76" s="706"/>
      <c r="J76" s="706"/>
      <c r="K76" s="706"/>
      <c r="L76" s="707"/>
      <c r="M76" s="152"/>
      <c r="O76" s="154"/>
      <c r="P76" s="154"/>
    </row>
    <row r="77" spans="1:16" s="3" customFormat="1" x14ac:dyDescent="0.25">
      <c r="A77" s="12"/>
      <c r="B77" s="705"/>
      <c r="C77" s="706"/>
      <c r="D77" s="706"/>
      <c r="E77" s="706"/>
      <c r="F77" s="706"/>
      <c r="G77" s="706"/>
      <c r="H77" s="706"/>
      <c r="I77" s="706"/>
      <c r="J77" s="706"/>
      <c r="K77" s="706"/>
      <c r="L77" s="707"/>
      <c r="M77" s="152"/>
      <c r="O77" s="154"/>
      <c r="P77" s="154"/>
    </row>
    <row r="78" spans="1:16" s="3" customFormat="1" x14ac:dyDescent="0.25">
      <c r="A78" s="12"/>
      <c r="B78" s="705"/>
      <c r="C78" s="706"/>
      <c r="D78" s="706"/>
      <c r="E78" s="706"/>
      <c r="F78" s="706"/>
      <c r="G78" s="706"/>
      <c r="H78" s="706"/>
      <c r="I78" s="706"/>
      <c r="J78" s="706"/>
      <c r="K78" s="706"/>
      <c r="L78" s="707"/>
      <c r="M78" s="152"/>
      <c r="O78" s="154"/>
      <c r="P78" s="154"/>
    </row>
    <row r="79" spans="1:16" s="3" customFormat="1" x14ac:dyDescent="0.25">
      <c r="A79" s="12"/>
      <c r="B79" s="705"/>
      <c r="C79" s="706"/>
      <c r="D79" s="706"/>
      <c r="E79" s="706"/>
      <c r="F79" s="706"/>
      <c r="G79" s="706"/>
      <c r="H79" s="706"/>
      <c r="I79" s="706"/>
      <c r="J79" s="706"/>
      <c r="K79" s="706"/>
      <c r="L79" s="707"/>
      <c r="M79" s="152"/>
      <c r="O79" s="154"/>
      <c r="P79" s="154"/>
    </row>
    <row r="80" spans="1:16" s="3" customFormat="1" x14ac:dyDescent="0.25">
      <c r="A80" s="12"/>
      <c r="B80" s="705"/>
      <c r="C80" s="706"/>
      <c r="D80" s="706"/>
      <c r="E80" s="706"/>
      <c r="F80" s="706"/>
      <c r="G80" s="706"/>
      <c r="H80" s="706"/>
      <c r="I80" s="706"/>
      <c r="J80" s="706"/>
      <c r="K80" s="706"/>
      <c r="L80" s="707"/>
      <c r="M80" s="152"/>
      <c r="O80" s="154"/>
      <c r="P80" s="154"/>
    </row>
    <row r="81" spans="1:16" s="3" customFormat="1" x14ac:dyDescent="0.25">
      <c r="A81" s="12"/>
      <c r="B81" s="705"/>
      <c r="C81" s="706"/>
      <c r="D81" s="706"/>
      <c r="E81" s="706"/>
      <c r="F81" s="706"/>
      <c r="G81" s="706"/>
      <c r="H81" s="706"/>
      <c r="I81" s="706"/>
      <c r="J81" s="706"/>
      <c r="K81" s="706"/>
      <c r="L81" s="707"/>
      <c r="M81" s="152"/>
      <c r="O81" s="154"/>
      <c r="P81" s="154"/>
    </row>
    <row r="82" spans="1:16" s="152" customFormat="1" x14ac:dyDescent="0.25">
      <c r="A82" s="173"/>
      <c r="B82" s="187"/>
      <c r="C82" s="188"/>
      <c r="D82" s="188"/>
      <c r="E82" s="188"/>
      <c r="F82" s="188"/>
      <c r="G82" s="188"/>
      <c r="H82" s="188"/>
      <c r="I82" s="188"/>
      <c r="J82" s="188"/>
      <c r="K82" s="188"/>
      <c r="L82" s="186"/>
    </row>
    <row r="83" spans="1:16" s="3" customFormat="1" x14ac:dyDescent="0.25">
      <c r="A83" s="12"/>
      <c r="B83" s="711" t="s">
        <v>30</v>
      </c>
      <c r="C83" s="712"/>
      <c r="D83" s="712"/>
      <c r="E83" s="712"/>
      <c r="F83" s="712"/>
      <c r="G83" s="712"/>
      <c r="H83" s="712"/>
      <c r="I83" s="712"/>
      <c r="J83" s="712"/>
      <c r="K83" s="712"/>
      <c r="L83" s="713"/>
      <c r="M83" s="168"/>
    </row>
    <row r="84" spans="1:16" s="152" customFormat="1" x14ac:dyDescent="0.25">
      <c r="A84" s="173"/>
      <c r="B84" s="185"/>
      <c r="C84" s="174"/>
      <c r="D84" s="174"/>
      <c r="E84" s="174"/>
      <c r="F84" s="174"/>
      <c r="G84" s="174"/>
      <c r="H84" s="174"/>
      <c r="I84" s="174"/>
      <c r="J84" s="174"/>
      <c r="K84" s="174"/>
      <c r="L84" s="175"/>
    </row>
    <row r="85" spans="1:16" s="152" customFormat="1" x14ac:dyDescent="0.25">
      <c r="A85" s="173"/>
      <c r="B85" s="634" t="str">
        <f>IF(Intro!$G$21="English",O85,P85)</f>
        <v>Does your firm have any plans to increase, decrease or shut down its production of the goods, either at facilities currently producing the goods or currently being used to produce other products, in the next two years? Provide the rationale and assumptions underlying these strategies and objectives.</v>
      </c>
      <c r="C85" s="635"/>
      <c r="D85" s="635"/>
      <c r="E85" s="635"/>
      <c r="F85" s="635"/>
      <c r="G85" s="635"/>
      <c r="H85" s="635"/>
      <c r="I85" s="635"/>
      <c r="J85" s="635"/>
      <c r="K85" s="635"/>
      <c r="L85" s="636"/>
      <c r="O85" s="152" t="s">
        <v>412</v>
      </c>
      <c r="P85" s="152" t="s">
        <v>348</v>
      </c>
    </row>
    <row r="86" spans="1:16" s="152" customFormat="1" x14ac:dyDescent="0.25">
      <c r="A86" s="173"/>
      <c r="B86" s="634"/>
      <c r="C86" s="635"/>
      <c r="D86" s="635"/>
      <c r="E86" s="635"/>
      <c r="F86" s="635"/>
      <c r="G86" s="635"/>
      <c r="H86" s="635"/>
      <c r="I86" s="635"/>
      <c r="J86" s="635"/>
      <c r="K86" s="635"/>
      <c r="L86" s="636"/>
    </row>
    <row r="87" spans="1:16" s="152" customFormat="1" x14ac:dyDescent="0.25">
      <c r="A87" s="173"/>
      <c r="B87" s="634"/>
      <c r="C87" s="635"/>
      <c r="D87" s="635"/>
      <c r="E87" s="635"/>
      <c r="F87" s="635"/>
      <c r="G87" s="635"/>
      <c r="H87" s="635"/>
      <c r="I87" s="635"/>
      <c r="J87" s="635"/>
      <c r="K87" s="635"/>
      <c r="L87" s="636"/>
    </row>
    <row r="88" spans="1:16" s="152" customFormat="1" x14ac:dyDescent="0.25">
      <c r="A88" s="173"/>
      <c r="B88" s="185"/>
      <c r="C88" s="174"/>
      <c r="D88" s="174"/>
      <c r="E88" s="174"/>
      <c r="F88" s="174"/>
      <c r="G88" s="174"/>
      <c r="H88" s="174"/>
      <c r="I88" s="174"/>
      <c r="J88" s="174"/>
      <c r="K88" s="174"/>
      <c r="L88" s="175"/>
    </row>
    <row r="89" spans="1:16" s="3" customFormat="1" ht="14.25" customHeight="1" x14ac:dyDescent="0.25">
      <c r="A89" s="12"/>
      <c r="B89" s="813"/>
      <c r="C89" s="814"/>
      <c r="D89" s="814"/>
      <c r="E89" s="814"/>
      <c r="F89" s="814"/>
      <c r="G89" s="814"/>
      <c r="H89" s="814"/>
      <c r="I89" s="814"/>
      <c r="J89" s="814"/>
      <c r="K89" s="814"/>
      <c r="L89" s="815"/>
      <c r="M89" s="152"/>
      <c r="O89" s="154"/>
      <c r="P89" s="154"/>
    </row>
    <row r="90" spans="1:16" s="3" customFormat="1" x14ac:dyDescent="0.25">
      <c r="A90" s="12"/>
      <c r="B90" s="813"/>
      <c r="C90" s="814"/>
      <c r="D90" s="814"/>
      <c r="E90" s="814"/>
      <c r="F90" s="814"/>
      <c r="G90" s="814"/>
      <c r="H90" s="814"/>
      <c r="I90" s="814"/>
      <c r="J90" s="814"/>
      <c r="K90" s="814"/>
      <c r="L90" s="815"/>
      <c r="M90" s="152"/>
      <c r="O90" s="154"/>
      <c r="P90" s="154"/>
    </row>
    <row r="91" spans="1:16" s="3" customFormat="1" x14ac:dyDescent="0.25">
      <c r="A91" s="12"/>
      <c r="B91" s="813"/>
      <c r="C91" s="814"/>
      <c r="D91" s="814"/>
      <c r="E91" s="814"/>
      <c r="F91" s="814"/>
      <c r="G91" s="814"/>
      <c r="H91" s="814"/>
      <c r="I91" s="814"/>
      <c r="J91" s="814"/>
      <c r="K91" s="814"/>
      <c r="L91" s="815"/>
      <c r="M91" s="152"/>
      <c r="O91" s="154"/>
      <c r="P91" s="154"/>
    </row>
    <row r="92" spans="1:16" s="3" customFormat="1" x14ac:dyDescent="0.25">
      <c r="A92" s="12"/>
      <c r="B92" s="813"/>
      <c r="C92" s="814"/>
      <c r="D92" s="814"/>
      <c r="E92" s="814"/>
      <c r="F92" s="814"/>
      <c r="G92" s="814"/>
      <c r="H92" s="814"/>
      <c r="I92" s="814"/>
      <c r="J92" s="814"/>
      <c r="K92" s="814"/>
      <c r="L92" s="815"/>
      <c r="M92" s="152"/>
      <c r="O92" s="154"/>
      <c r="P92" s="154"/>
    </row>
    <row r="93" spans="1:16" s="3" customFormat="1" x14ac:dyDescent="0.25">
      <c r="A93" s="12"/>
      <c r="B93" s="813"/>
      <c r="C93" s="814"/>
      <c r="D93" s="814"/>
      <c r="E93" s="814"/>
      <c r="F93" s="814"/>
      <c r="G93" s="814"/>
      <c r="H93" s="814"/>
      <c r="I93" s="814"/>
      <c r="J93" s="814"/>
      <c r="K93" s="814"/>
      <c r="L93" s="815"/>
      <c r="M93" s="152"/>
      <c r="O93" s="154"/>
      <c r="P93" s="154"/>
    </row>
    <row r="94" spans="1:16" s="3" customFormat="1" x14ac:dyDescent="0.25">
      <c r="A94" s="12"/>
      <c r="B94" s="813"/>
      <c r="C94" s="814"/>
      <c r="D94" s="814"/>
      <c r="E94" s="814"/>
      <c r="F94" s="814"/>
      <c r="G94" s="814"/>
      <c r="H94" s="814"/>
      <c r="I94" s="814"/>
      <c r="J94" s="814"/>
      <c r="K94" s="814"/>
      <c r="L94" s="815"/>
      <c r="M94" s="152"/>
      <c r="O94" s="154"/>
      <c r="P94" s="154"/>
    </row>
    <row r="95" spans="1:16" s="3" customFormat="1" x14ac:dyDescent="0.25">
      <c r="A95" s="12"/>
      <c r="B95" s="813"/>
      <c r="C95" s="814"/>
      <c r="D95" s="814"/>
      <c r="E95" s="814"/>
      <c r="F95" s="814"/>
      <c r="G95" s="814"/>
      <c r="H95" s="814"/>
      <c r="I95" s="814"/>
      <c r="J95" s="814"/>
      <c r="K95" s="814"/>
      <c r="L95" s="815"/>
      <c r="M95" s="152"/>
      <c r="O95" s="154"/>
      <c r="P95" s="154"/>
    </row>
    <row r="96" spans="1:16" s="152" customFormat="1" x14ac:dyDescent="0.25">
      <c r="A96" s="173"/>
      <c r="B96" s="187"/>
      <c r="C96" s="188"/>
      <c r="D96" s="188"/>
      <c r="E96" s="188"/>
      <c r="F96" s="188"/>
      <c r="G96" s="188"/>
      <c r="H96" s="188"/>
      <c r="I96" s="188"/>
      <c r="J96" s="188"/>
      <c r="K96" s="188"/>
      <c r="L96" s="186"/>
    </row>
    <row r="97" spans="1:16" s="3" customFormat="1" x14ac:dyDescent="0.25">
      <c r="A97" s="12"/>
      <c r="B97" s="711" t="s">
        <v>31</v>
      </c>
      <c r="C97" s="712"/>
      <c r="D97" s="712"/>
      <c r="E97" s="712"/>
      <c r="F97" s="712"/>
      <c r="G97" s="712"/>
      <c r="H97" s="712"/>
      <c r="I97" s="712"/>
      <c r="J97" s="712"/>
      <c r="K97" s="712"/>
      <c r="L97" s="713"/>
      <c r="M97" s="168"/>
    </row>
    <row r="98" spans="1:16" s="152" customFormat="1" x14ac:dyDescent="0.25">
      <c r="A98" s="173"/>
      <c r="B98" s="185"/>
      <c r="C98" s="174"/>
      <c r="D98" s="174"/>
      <c r="E98" s="174"/>
      <c r="F98" s="174"/>
      <c r="G98" s="174"/>
      <c r="H98" s="174"/>
      <c r="I98" s="174"/>
      <c r="J98" s="174"/>
      <c r="K98" s="174"/>
      <c r="L98" s="175"/>
    </row>
    <row r="99" spans="1:16" s="152" customFormat="1" x14ac:dyDescent="0.25">
      <c r="A99" s="173"/>
      <c r="B99" s="612" t="str">
        <f>IF(Intro!$G$21="English",O99,P99)</f>
        <v>Does your firm have any plans to change the product mix of the goods produced on the same equipment, in the next two years? Provide the rationale and assumptions underlying these strategies and objectives.</v>
      </c>
      <c r="C99" s="613"/>
      <c r="D99" s="613"/>
      <c r="E99" s="613"/>
      <c r="F99" s="613"/>
      <c r="G99" s="613"/>
      <c r="H99" s="613"/>
      <c r="I99" s="613"/>
      <c r="J99" s="613"/>
      <c r="K99" s="613"/>
      <c r="L99" s="614"/>
      <c r="O99" s="152" t="s">
        <v>413</v>
      </c>
      <c r="P99" s="152" t="s">
        <v>349</v>
      </c>
    </row>
    <row r="100" spans="1:16" s="152" customFormat="1" x14ac:dyDescent="0.25">
      <c r="A100" s="173"/>
      <c r="B100" s="612"/>
      <c r="C100" s="613"/>
      <c r="D100" s="613"/>
      <c r="E100" s="613"/>
      <c r="F100" s="613"/>
      <c r="G100" s="613"/>
      <c r="H100" s="613"/>
      <c r="I100" s="613"/>
      <c r="J100" s="613"/>
      <c r="K100" s="613"/>
      <c r="L100" s="614"/>
    </row>
    <row r="101" spans="1:16" s="152" customFormat="1" x14ac:dyDescent="0.25">
      <c r="A101" s="173"/>
      <c r="B101" s="185"/>
      <c r="C101" s="174"/>
      <c r="D101" s="174"/>
      <c r="E101" s="174"/>
      <c r="F101" s="174"/>
      <c r="G101" s="174"/>
      <c r="H101" s="174"/>
      <c r="I101" s="174"/>
      <c r="J101" s="174"/>
      <c r="K101" s="174"/>
      <c r="L101" s="175"/>
    </row>
    <row r="102" spans="1:16" s="3" customFormat="1" x14ac:dyDescent="0.25">
      <c r="A102" s="12"/>
      <c r="B102" s="705"/>
      <c r="C102" s="706"/>
      <c r="D102" s="706"/>
      <c r="E102" s="706"/>
      <c r="F102" s="706"/>
      <c r="G102" s="706"/>
      <c r="H102" s="706"/>
      <c r="I102" s="706"/>
      <c r="J102" s="706"/>
      <c r="K102" s="706"/>
      <c r="L102" s="707"/>
      <c r="M102" s="152"/>
      <c r="O102" s="154"/>
      <c r="P102" s="154"/>
    </row>
    <row r="103" spans="1:16" s="3" customFormat="1" x14ac:dyDescent="0.25">
      <c r="A103" s="12"/>
      <c r="B103" s="705"/>
      <c r="C103" s="706"/>
      <c r="D103" s="706"/>
      <c r="E103" s="706"/>
      <c r="F103" s="706"/>
      <c r="G103" s="706"/>
      <c r="H103" s="706"/>
      <c r="I103" s="706"/>
      <c r="J103" s="706"/>
      <c r="K103" s="706"/>
      <c r="L103" s="707"/>
      <c r="M103" s="152"/>
      <c r="O103" s="154"/>
      <c r="P103" s="154"/>
    </row>
    <row r="104" spans="1:16" s="3" customFormat="1" x14ac:dyDescent="0.25">
      <c r="A104" s="12"/>
      <c r="B104" s="705"/>
      <c r="C104" s="706"/>
      <c r="D104" s="706"/>
      <c r="E104" s="706"/>
      <c r="F104" s="706"/>
      <c r="G104" s="706"/>
      <c r="H104" s="706"/>
      <c r="I104" s="706"/>
      <c r="J104" s="706"/>
      <c r="K104" s="706"/>
      <c r="L104" s="707"/>
      <c r="M104" s="152"/>
      <c r="O104" s="154"/>
      <c r="P104" s="154"/>
    </row>
    <row r="105" spans="1:16" s="3" customFormat="1" x14ac:dyDescent="0.25">
      <c r="A105" s="12"/>
      <c r="B105" s="705"/>
      <c r="C105" s="706"/>
      <c r="D105" s="706"/>
      <c r="E105" s="706"/>
      <c r="F105" s="706"/>
      <c r="G105" s="706"/>
      <c r="H105" s="706"/>
      <c r="I105" s="706"/>
      <c r="J105" s="706"/>
      <c r="K105" s="706"/>
      <c r="L105" s="707"/>
      <c r="M105" s="152"/>
      <c r="O105" s="154"/>
      <c r="P105" s="154"/>
    </row>
    <row r="106" spans="1:16" s="3" customFormat="1" x14ac:dyDescent="0.25">
      <c r="A106" s="12"/>
      <c r="B106" s="705"/>
      <c r="C106" s="706"/>
      <c r="D106" s="706"/>
      <c r="E106" s="706"/>
      <c r="F106" s="706"/>
      <c r="G106" s="706"/>
      <c r="H106" s="706"/>
      <c r="I106" s="706"/>
      <c r="J106" s="706"/>
      <c r="K106" s="706"/>
      <c r="L106" s="707"/>
      <c r="M106" s="152"/>
      <c r="O106" s="154"/>
      <c r="P106" s="154"/>
    </row>
    <row r="107" spans="1:16" s="3" customFormat="1" x14ac:dyDescent="0.25">
      <c r="A107" s="12"/>
      <c r="B107" s="705"/>
      <c r="C107" s="706"/>
      <c r="D107" s="706"/>
      <c r="E107" s="706"/>
      <c r="F107" s="706"/>
      <c r="G107" s="706"/>
      <c r="H107" s="706"/>
      <c r="I107" s="706"/>
      <c r="J107" s="706"/>
      <c r="K107" s="706"/>
      <c r="L107" s="707"/>
      <c r="M107" s="152"/>
      <c r="O107" s="154"/>
      <c r="P107" s="154"/>
    </row>
    <row r="108" spans="1:16" s="3" customFormat="1" x14ac:dyDescent="0.25">
      <c r="A108" s="12"/>
      <c r="B108" s="705"/>
      <c r="C108" s="706"/>
      <c r="D108" s="706"/>
      <c r="E108" s="706"/>
      <c r="F108" s="706"/>
      <c r="G108" s="706"/>
      <c r="H108" s="706"/>
      <c r="I108" s="706"/>
      <c r="J108" s="706"/>
      <c r="K108" s="706"/>
      <c r="L108" s="707"/>
      <c r="M108" s="152"/>
      <c r="O108" s="154"/>
      <c r="P108" s="154"/>
    </row>
    <row r="109" spans="1:16" s="3" customFormat="1" x14ac:dyDescent="0.25">
      <c r="A109" s="12"/>
      <c r="B109" s="705"/>
      <c r="C109" s="706"/>
      <c r="D109" s="706"/>
      <c r="E109" s="706"/>
      <c r="F109" s="706"/>
      <c r="G109" s="706"/>
      <c r="H109" s="706"/>
      <c r="I109" s="706"/>
      <c r="J109" s="706"/>
      <c r="K109" s="706"/>
      <c r="L109" s="707"/>
      <c r="M109" s="152"/>
      <c r="O109" s="154"/>
      <c r="P109" s="154"/>
    </row>
    <row r="110" spans="1:16" s="152" customFormat="1" x14ac:dyDescent="0.25">
      <c r="A110" s="173"/>
      <c r="B110" s="187"/>
      <c r="C110" s="188"/>
      <c r="D110" s="188"/>
      <c r="E110" s="188"/>
      <c r="F110" s="188"/>
      <c r="G110" s="188"/>
      <c r="H110" s="188"/>
      <c r="I110" s="188"/>
      <c r="J110" s="188"/>
      <c r="K110" s="188"/>
      <c r="L110" s="186"/>
    </row>
  </sheetData>
  <sheetProtection algorithmName="SHA-512" hashValue="sLKvtrq+KeDVFh/5AIzVIJh7JxpTud5fdaqq53Fg9si/oUhzndaBe3CpVZuXXJkn+CuhhBXp8NGwWqb66U/KMg==" saltValue="x668EOZBJvotdhLa0kVSSQ==" spinCount="100000" sheet="1" objects="1" scenarios="1" selectLockedCells="1"/>
  <mergeCells count="41">
    <mergeCell ref="B102:L109"/>
    <mergeCell ref="B60:L67"/>
    <mergeCell ref="B74:L81"/>
    <mergeCell ref="B83:L83"/>
    <mergeCell ref="B97:L97"/>
    <mergeCell ref="B69:L69"/>
    <mergeCell ref="B99:L100"/>
    <mergeCell ref="B85:L87"/>
    <mergeCell ref="B71:L72"/>
    <mergeCell ref="B89:L95"/>
    <mergeCell ref="B32:L32"/>
    <mergeCell ref="B45:L45"/>
    <mergeCell ref="B58:L58"/>
    <mergeCell ref="B27:E27"/>
    <mergeCell ref="B28:E28"/>
    <mergeCell ref="B34:L41"/>
    <mergeCell ref="B47:L54"/>
    <mergeCell ref="B30:L30"/>
    <mergeCell ref="B43:L43"/>
    <mergeCell ref="B56:L56"/>
    <mergeCell ref="B25:E25"/>
    <mergeCell ref="B26:E26"/>
    <mergeCell ref="B8:L8"/>
    <mergeCell ref="B9:L9"/>
    <mergeCell ref="B10:L10"/>
    <mergeCell ref="B20:E20"/>
    <mergeCell ref="B21:E21"/>
    <mergeCell ref="B23:E23"/>
    <mergeCell ref="B15:L16"/>
    <mergeCell ref="G18:G19"/>
    <mergeCell ref="H18:H19"/>
    <mergeCell ref="I18:I19"/>
    <mergeCell ref="J18:J19"/>
    <mergeCell ref="B24:E24"/>
    <mergeCell ref="B22:E22"/>
    <mergeCell ref="B4:L4"/>
    <mergeCell ref="B5:L5"/>
    <mergeCell ref="B6:L6"/>
    <mergeCell ref="B13:L13"/>
    <mergeCell ref="K18:K19"/>
    <mergeCell ref="B12:L12"/>
  </mergeCells>
  <dataValidations count="3">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7:K28 G25:K25 G23:K23" xr:uid="{37A662D5-5CA6-44ED-B631-9F45025DB71B}">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34 B47 B60 B74 B89 B102" xr:uid="{9A88E553-ACFB-40FF-B26F-32C105B2B41B}">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0:K22 G24:K24 G26:K26" xr:uid="{3C0CA42B-CDC9-4060-8B8D-3C82DFD5D8F9}">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5"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6E4E5-BB83-451D-A70D-D74454ABF619}">
  <sheetPr>
    <tabColor rgb="FF92D050"/>
    <pageSetUpPr fitToPage="1"/>
  </sheetPr>
  <dimension ref="A1:S360"/>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7" width="15.5703125" style="2" customWidth="1"/>
    <col min="18" max="16384" width="9.140625" style="2"/>
  </cols>
  <sheetData>
    <row r="1" spans="1:16" x14ac:dyDescent="0.25">
      <c r="O1" s="2" t="s">
        <v>720</v>
      </c>
      <c r="P1" s="2" t="s">
        <v>720</v>
      </c>
    </row>
    <row r="2" spans="1:16" x14ac:dyDescent="0.25">
      <c r="B2" s="20" t="str">
        <f>'Pro 1'!B2</f>
        <v>PROTECTED</v>
      </c>
      <c r="C2" s="20"/>
      <c r="D2" s="20"/>
      <c r="O2" s="3" t="s">
        <v>166</v>
      </c>
      <c r="P2" s="3" t="s">
        <v>167</v>
      </c>
    </row>
    <row r="3" spans="1:16" x14ac:dyDescent="0.25">
      <c r="B3" s="21"/>
      <c r="C3" s="21"/>
      <c r="D3" s="21"/>
      <c r="O3" s="8"/>
      <c r="P3" s="8"/>
    </row>
    <row r="4" spans="1:16" s="8" customFormat="1" x14ac:dyDescent="0.25">
      <c r="A4" s="13"/>
      <c r="B4" s="649" t="str">
        <f>Info!B4</f>
        <v>PRODUCERS' QUESTIONNAIRE</v>
      </c>
      <c r="C4" s="650"/>
      <c r="D4" s="650"/>
      <c r="E4" s="650"/>
      <c r="F4" s="650"/>
      <c r="G4" s="650"/>
      <c r="H4" s="650"/>
      <c r="I4" s="650"/>
      <c r="J4" s="650"/>
      <c r="K4" s="650"/>
      <c r="L4" s="651"/>
      <c r="M4" s="15"/>
      <c r="N4" s="15"/>
      <c r="O4" s="14"/>
      <c r="P4" s="14"/>
    </row>
    <row r="5" spans="1:16" s="8" customFormat="1" x14ac:dyDescent="0.25">
      <c r="A5" s="13"/>
      <c r="B5" s="652" t="str">
        <f>Info!B5</f>
        <v>NQ-2026-004</v>
      </c>
      <c r="C5" s="653"/>
      <c r="D5" s="653"/>
      <c r="E5" s="653"/>
      <c r="F5" s="653"/>
      <c r="G5" s="653"/>
      <c r="H5" s="653"/>
      <c r="I5" s="653"/>
      <c r="J5" s="653"/>
      <c r="K5" s="653"/>
      <c r="L5" s="654"/>
      <c r="M5" s="15"/>
      <c r="N5" s="15"/>
      <c r="O5" s="14"/>
      <c r="P5" s="14"/>
    </row>
    <row r="6" spans="1:16" s="9" customFormat="1" x14ac:dyDescent="0.25">
      <c r="A6" s="13"/>
      <c r="B6" s="652" t="str">
        <f>Info!B6</f>
        <v>DECORATIVE AND OTHER NON-STRUCTURAL PLYWOOD</v>
      </c>
      <c r="C6" s="653"/>
      <c r="D6" s="653"/>
      <c r="E6" s="653"/>
      <c r="F6" s="653"/>
      <c r="G6" s="653"/>
      <c r="H6" s="653"/>
      <c r="I6" s="653"/>
      <c r="J6" s="653"/>
      <c r="K6" s="653"/>
      <c r="L6" s="654"/>
      <c r="M6" s="14"/>
      <c r="N6" s="14"/>
      <c r="O6" s="10"/>
      <c r="P6" s="10"/>
    </row>
    <row r="7" spans="1:16" s="9" customFormat="1" x14ac:dyDescent="0.25">
      <c r="A7" s="13"/>
      <c r="B7" s="242"/>
      <c r="C7" s="28"/>
      <c r="D7" s="28"/>
      <c r="E7" s="28"/>
      <c r="F7" s="28"/>
      <c r="G7" s="28"/>
      <c r="H7" s="28"/>
      <c r="I7" s="28"/>
      <c r="J7" s="28"/>
      <c r="K7" s="28"/>
      <c r="L7" s="243"/>
      <c r="M7" s="14"/>
      <c r="N7" s="14"/>
      <c r="O7" s="5"/>
    </row>
    <row r="8" spans="1:16" s="9" customFormat="1" x14ac:dyDescent="0.25">
      <c r="A8" s="13"/>
      <c r="B8" s="733" t="str">
        <f>Public!B8</f>
        <v>The following questions refer to the goods as defined in the product description on the Intro tab.</v>
      </c>
      <c r="C8" s="734"/>
      <c r="D8" s="734"/>
      <c r="E8" s="734"/>
      <c r="F8" s="734"/>
      <c r="G8" s="734"/>
      <c r="H8" s="734"/>
      <c r="I8" s="734"/>
      <c r="J8" s="734"/>
      <c r="K8" s="734"/>
      <c r="L8" s="735"/>
      <c r="M8" s="14"/>
      <c r="N8" s="14"/>
      <c r="O8" s="10"/>
      <c r="P8" s="10"/>
    </row>
    <row r="9" spans="1:16" s="9" customFormat="1" x14ac:dyDescent="0.25">
      <c r="A9" s="13"/>
      <c r="B9" s="733" t="str">
        <f>Public!B9</f>
        <v xml:space="preserve">Product information and a glossary of terms can be found in the Info tab.
</v>
      </c>
      <c r="C9" s="734"/>
      <c r="D9" s="734"/>
      <c r="E9" s="734"/>
      <c r="F9" s="734"/>
      <c r="G9" s="734"/>
      <c r="H9" s="734"/>
      <c r="I9" s="734"/>
      <c r="J9" s="734"/>
      <c r="K9" s="734"/>
      <c r="L9" s="735"/>
      <c r="M9" s="14"/>
      <c r="N9" s="14"/>
      <c r="O9" s="10"/>
    </row>
    <row r="10" spans="1:16" s="9" customFormat="1" x14ac:dyDescent="0.25">
      <c r="A10" s="13"/>
      <c r="B10" s="733" t="str">
        <f>'Pro 1'!B10</f>
        <v xml:space="preserve">Use the AddPro tab if more space is needed.
</v>
      </c>
      <c r="C10" s="734"/>
      <c r="D10" s="734"/>
      <c r="E10" s="734"/>
      <c r="F10" s="734"/>
      <c r="G10" s="734"/>
      <c r="H10" s="734"/>
      <c r="I10" s="734"/>
      <c r="J10" s="734"/>
      <c r="K10" s="734"/>
      <c r="L10" s="735"/>
      <c r="M10" s="14"/>
      <c r="N10" s="14"/>
      <c r="O10" s="10"/>
      <c r="P10" s="10"/>
    </row>
    <row r="11" spans="1:16" s="9" customFormat="1" x14ac:dyDescent="0.25">
      <c r="A11" s="13"/>
      <c r="B11" s="244"/>
      <c r="C11" s="241"/>
      <c r="D11" s="241"/>
      <c r="E11" s="28"/>
      <c r="F11" s="28"/>
      <c r="G11" s="28"/>
      <c r="H11" s="28"/>
      <c r="I11" s="28"/>
      <c r="J11" s="28"/>
      <c r="K11" s="28"/>
      <c r="L11" s="243"/>
      <c r="M11" s="14"/>
      <c r="N11" s="14"/>
      <c r="O11" s="10"/>
      <c r="P11" s="10"/>
    </row>
    <row r="12" spans="1:16" s="9" customFormat="1" x14ac:dyDescent="0.25">
      <c r="A12" s="13"/>
      <c r="B12" s="733" t="str">
        <f>IF(Intro!$G$21="English",O12,P12)</f>
        <v>For the questions in this tab, note the following:</v>
      </c>
      <c r="C12" s="734"/>
      <c r="D12" s="734"/>
      <c r="E12" s="734"/>
      <c r="F12" s="734"/>
      <c r="G12" s="734"/>
      <c r="H12" s="734"/>
      <c r="I12" s="734"/>
      <c r="J12" s="734"/>
      <c r="K12" s="734"/>
      <c r="L12" s="735"/>
      <c r="M12" s="14"/>
      <c r="N12" s="14"/>
      <c r="O12" s="10" t="s">
        <v>193</v>
      </c>
      <c r="P12" s="10" t="s">
        <v>194</v>
      </c>
    </row>
    <row r="13" spans="1:16" s="9" customFormat="1" ht="25.5" customHeight="1" x14ac:dyDescent="0.25">
      <c r="A13" s="13"/>
      <c r="B13" s="864" t="str">
        <f>IF(Intro!$G$21="English",O13,P13)</f>
        <v>• Report only sales of your firm’s production in Canada. Sales of goods purchased from other Canadian producers should be excluded.</v>
      </c>
      <c r="C13" s="865"/>
      <c r="D13" s="865"/>
      <c r="E13" s="865"/>
      <c r="F13" s="865"/>
      <c r="G13" s="865"/>
      <c r="H13" s="865"/>
      <c r="I13" s="865"/>
      <c r="J13" s="865"/>
      <c r="K13" s="865"/>
      <c r="L13" s="866"/>
      <c r="M13" s="14"/>
      <c r="N13" s="14"/>
      <c r="O13" s="10" t="s">
        <v>655</v>
      </c>
      <c r="P13" s="10" t="s">
        <v>656</v>
      </c>
    </row>
    <row r="14" spans="1:16" s="9" customFormat="1" x14ac:dyDescent="0.25">
      <c r="A14" s="13"/>
      <c r="B14" s="733" t="str">
        <f>IF(Intro!$G$21="English",O14,P14)</f>
        <v>• Report all sales to Canadian and foreign associated firms.</v>
      </c>
      <c r="C14" s="734"/>
      <c r="D14" s="734"/>
      <c r="E14" s="734"/>
      <c r="F14" s="734"/>
      <c r="G14" s="734"/>
      <c r="H14" s="734"/>
      <c r="I14" s="734"/>
      <c r="J14" s="734"/>
      <c r="K14" s="734"/>
      <c r="L14" s="735"/>
      <c r="M14" s="14"/>
      <c r="N14" s="14"/>
      <c r="O14" s="10" t="s">
        <v>579</v>
      </c>
      <c r="P14" s="10" t="s">
        <v>582</v>
      </c>
    </row>
    <row r="15" spans="1:16" s="9" customFormat="1" x14ac:dyDescent="0.25">
      <c r="A15" s="13"/>
      <c r="B15" s="733" t="str">
        <f>IF(Intro!$G$21="English",O15,P15)</f>
        <v>• Report all sales as of the date of shipment to the customer or the customer’s warehouse.</v>
      </c>
      <c r="C15" s="734"/>
      <c r="D15" s="734"/>
      <c r="E15" s="734"/>
      <c r="F15" s="734"/>
      <c r="G15" s="734"/>
      <c r="H15" s="734"/>
      <c r="I15" s="734"/>
      <c r="J15" s="734"/>
      <c r="K15" s="734"/>
      <c r="L15" s="735"/>
      <c r="M15" s="14"/>
      <c r="N15" s="14"/>
      <c r="O15" s="10" t="s">
        <v>580</v>
      </c>
      <c r="P15" s="10" t="s">
        <v>583</v>
      </c>
    </row>
    <row r="16" spans="1:16" s="9" customFormat="1" x14ac:dyDescent="0.25">
      <c r="A16" s="13"/>
      <c r="B16" s="736" t="str">
        <f>IF(Intro!$G$21="English",O16,P16)</f>
        <v>• Report all values in Canadian dollars (CAD).</v>
      </c>
      <c r="C16" s="737"/>
      <c r="D16" s="737"/>
      <c r="E16" s="737"/>
      <c r="F16" s="737"/>
      <c r="G16" s="737"/>
      <c r="H16" s="737"/>
      <c r="I16" s="737"/>
      <c r="J16" s="737"/>
      <c r="K16" s="737"/>
      <c r="L16" s="738"/>
      <c r="M16" s="14"/>
      <c r="N16" s="14"/>
      <c r="O16" s="10" t="s">
        <v>581</v>
      </c>
      <c r="P16" s="10" t="s">
        <v>584</v>
      </c>
    </row>
    <row r="17" spans="1:16" s="9" customFormat="1" x14ac:dyDescent="0.25">
      <c r="A17" s="13"/>
      <c r="B17" s="22"/>
      <c r="C17" s="22"/>
      <c r="D17" s="22"/>
      <c r="E17" s="23"/>
      <c r="F17" s="23"/>
      <c r="G17" s="23"/>
      <c r="H17" s="23"/>
      <c r="I17" s="23"/>
      <c r="J17" s="23"/>
      <c r="K17" s="23"/>
      <c r="L17" s="23"/>
      <c r="O17" s="10"/>
      <c r="P17" s="10"/>
    </row>
    <row r="18" spans="1:16" x14ac:dyDescent="0.25">
      <c r="B18" s="618" t="str">
        <f>IF(Intro!$G$21="English",O18,P18)</f>
        <v>SALES AND INVENTORIES</v>
      </c>
      <c r="C18" s="619"/>
      <c r="D18" s="619"/>
      <c r="E18" s="619"/>
      <c r="F18" s="619"/>
      <c r="G18" s="619"/>
      <c r="H18" s="619"/>
      <c r="I18" s="619"/>
      <c r="J18" s="619"/>
      <c r="K18" s="619"/>
      <c r="L18" s="620"/>
      <c r="M18" s="2"/>
      <c r="O18" s="199" t="s">
        <v>651</v>
      </c>
      <c r="P18" s="199" t="s">
        <v>652</v>
      </c>
    </row>
    <row r="19" spans="1:16" x14ac:dyDescent="0.25">
      <c r="B19" s="714" t="s">
        <v>20</v>
      </c>
      <c r="C19" s="715"/>
      <c r="D19" s="715"/>
      <c r="E19" s="715"/>
      <c r="F19" s="715"/>
      <c r="G19" s="715"/>
      <c r="H19" s="715"/>
      <c r="I19" s="715"/>
      <c r="J19" s="715"/>
      <c r="K19" s="715"/>
      <c r="L19" s="716"/>
      <c r="M19" s="2"/>
    </row>
    <row r="20" spans="1:16" x14ac:dyDescent="0.25">
      <c r="B20" s="24"/>
      <c r="C20" s="25"/>
      <c r="D20" s="25"/>
      <c r="E20" s="26"/>
      <c r="F20" s="26"/>
      <c r="G20" s="26"/>
      <c r="H20" s="26"/>
      <c r="I20" s="26"/>
      <c r="J20" s="26"/>
      <c r="K20" s="26"/>
      <c r="L20" s="27"/>
      <c r="M20" s="2"/>
    </row>
    <row r="21" spans="1:16" x14ac:dyDescent="0.25">
      <c r="B21" s="612" t="str">
        <f>IF(Intro!$G$21="English",O21,P21)</f>
        <v>Complete the following table for your firm's Canadian sales and inventories of the goods.</v>
      </c>
      <c r="C21" s="613"/>
      <c r="D21" s="613"/>
      <c r="E21" s="613"/>
      <c r="F21" s="613"/>
      <c r="G21" s="613"/>
      <c r="H21" s="613"/>
      <c r="I21" s="613"/>
      <c r="J21" s="613"/>
      <c r="K21" s="613"/>
      <c r="L21" s="614"/>
      <c r="M21" s="2"/>
      <c r="O21" s="11" t="s">
        <v>192</v>
      </c>
      <c r="P21" s="2" t="s">
        <v>687</v>
      </c>
    </row>
    <row r="22" spans="1:16" x14ac:dyDescent="0.25">
      <c r="B22" s="159"/>
      <c r="C22" s="160"/>
      <c r="D22" s="25"/>
      <c r="E22" s="26"/>
      <c r="F22" s="26"/>
      <c r="G22" s="26"/>
      <c r="H22" s="26"/>
      <c r="I22" s="26"/>
      <c r="J22" s="26"/>
      <c r="K22" s="26"/>
      <c r="L22" s="27"/>
      <c r="M22" s="2"/>
      <c r="O22" s="11"/>
    </row>
    <row r="23" spans="1:16" x14ac:dyDescent="0.25">
      <c r="B23" s="159"/>
      <c r="C23" s="160"/>
      <c r="D23" s="25"/>
      <c r="E23" s="2"/>
      <c r="F23" s="2"/>
      <c r="G23" s="826">
        <f>Variables!$B$6</f>
        <v>2023</v>
      </c>
      <c r="H23" s="826">
        <f>G23+1</f>
        <v>2024</v>
      </c>
      <c r="I23" s="826">
        <f>H23+1</f>
        <v>2025</v>
      </c>
      <c r="J23" s="826" t="str">
        <f>IF(Intro!$G$21="English",Variables!B9,Variables!C9)</f>
        <v>Jan-Mar 2025</v>
      </c>
      <c r="K23" s="806" t="str">
        <f>IF(Intro!$G$21="English",Variables!B10,Variables!C10)</f>
        <v>Jan-Mar 2026</v>
      </c>
      <c r="L23" s="273"/>
      <c r="M23" s="2"/>
      <c r="O23" s="11"/>
    </row>
    <row r="24" spans="1:16" ht="15" thickBot="1" x14ac:dyDescent="0.3">
      <c r="B24" s="159"/>
      <c r="C24" s="160"/>
      <c r="D24" s="25"/>
      <c r="E24" s="2"/>
      <c r="F24" s="2"/>
      <c r="G24" s="867"/>
      <c r="H24" s="867"/>
      <c r="I24" s="867"/>
      <c r="J24" s="867"/>
      <c r="K24" s="826"/>
      <c r="L24" s="273"/>
      <c r="M24" s="2"/>
      <c r="O24" s="11"/>
    </row>
    <row r="25" spans="1:16" x14ac:dyDescent="0.25">
      <c r="B25" s="853" t="str">
        <f>IF(Intro!$G$21="English",O25,P25)</f>
        <v>Beginning inventory - do not include production for internal use or further internal processing</v>
      </c>
      <c r="C25" s="868"/>
      <c r="D25" s="868"/>
      <c r="E25" s="830" t="str">
        <f>IF(Intro!$G$21="English",Variables!$B$23,Variables!$C$23)</f>
        <v>MSF</v>
      </c>
      <c r="F25" s="831"/>
      <c r="G25" s="265"/>
      <c r="H25" s="266">
        <f t="shared" ref="H25:I25" si="0">G43</f>
        <v>0</v>
      </c>
      <c r="I25" s="266">
        <f t="shared" si="0"/>
        <v>0</v>
      </c>
      <c r="J25" s="266">
        <f>H43</f>
        <v>0</v>
      </c>
      <c r="K25" s="266">
        <f>I43</f>
        <v>0</v>
      </c>
      <c r="L25" s="273"/>
      <c r="M25" s="2"/>
      <c r="O25" s="2" t="s">
        <v>747</v>
      </c>
      <c r="P25" s="2" t="s">
        <v>748</v>
      </c>
    </row>
    <row r="26" spans="1:16" x14ac:dyDescent="0.25">
      <c r="B26" s="845"/>
      <c r="C26" s="869"/>
      <c r="D26" s="869"/>
      <c r="E26" s="849" t="s">
        <v>560</v>
      </c>
      <c r="F26" s="850"/>
      <c r="G26" s="267"/>
      <c r="H26" s="268">
        <f t="shared" ref="H26:I26" si="1">G44</f>
        <v>0</v>
      </c>
      <c r="I26" s="268">
        <f t="shared" si="1"/>
        <v>0</v>
      </c>
      <c r="J26" s="268">
        <f>H44</f>
        <v>0</v>
      </c>
      <c r="K26" s="268">
        <f>I44</f>
        <v>0</v>
      </c>
      <c r="L26" s="273"/>
      <c r="M26" s="2"/>
    </row>
    <row r="27" spans="1:16" ht="15" thickBot="1" x14ac:dyDescent="0.3">
      <c r="B27" s="847"/>
      <c r="C27" s="870"/>
      <c r="D27" s="870"/>
      <c r="E27" s="851" t="str">
        <f>"$ / "&amp;IF(Intro!$G$21="English",Variables!$B$24,Variables!$C$24)</f>
        <v>$ / MSF</v>
      </c>
      <c r="F27" s="852"/>
      <c r="G27" s="567" t="str">
        <f t="shared" ref="G27:I27" si="2">IF(G25=0,"-",G26/G25)</f>
        <v>-</v>
      </c>
      <c r="H27" s="567" t="str">
        <f t="shared" si="2"/>
        <v>-</v>
      </c>
      <c r="I27" s="567" t="str">
        <f t="shared" si="2"/>
        <v>-</v>
      </c>
      <c r="J27" s="567" t="str">
        <f t="shared" ref="J27:K27" si="3">IF(J25=0,"-",J26/J25)</f>
        <v>-</v>
      </c>
      <c r="K27" s="567" t="str">
        <f t="shared" si="3"/>
        <v>-</v>
      </c>
      <c r="L27" s="273"/>
      <c r="M27" s="2"/>
    </row>
    <row r="28" spans="1:16" x14ac:dyDescent="0.25">
      <c r="B28" s="853" t="str">
        <f>IF(Intro!$G$21="English",O28,P28)</f>
        <v>Sales to distributors in Canada</v>
      </c>
      <c r="C28" s="854"/>
      <c r="D28" s="854"/>
      <c r="E28" s="830" t="str">
        <f>IF(Intro!$G$21="English",Variables!$B$23,Variables!$C$23)</f>
        <v>MSF</v>
      </c>
      <c r="F28" s="831"/>
      <c r="G28" s="265"/>
      <c r="H28" s="265"/>
      <c r="I28" s="265"/>
      <c r="J28" s="265"/>
      <c r="K28" s="265"/>
      <c r="L28" s="273"/>
      <c r="M28" s="2"/>
      <c r="O28" s="2" t="str">
        <f>"Sales to "&amp;Variables!$B$26&amp;" in Canada"</f>
        <v>Sales to distributors in Canada</v>
      </c>
      <c r="P28" s="2" t="str">
        <f>"Ventes aux "&amp;Variables!$C$26&amp;" au Canada"</f>
        <v>Ventes aux distributeurs au Canada</v>
      </c>
    </row>
    <row r="29" spans="1:16" x14ac:dyDescent="0.25">
      <c r="B29" s="845"/>
      <c r="C29" s="846"/>
      <c r="D29" s="846"/>
      <c r="E29" s="849" t="str">
        <f>IF(Intro!G$21="English","net delivered selling value (CAD)","valeur de vente nette rendue (CAD)")</f>
        <v>net delivered selling value (CAD)</v>
      </c>
      <c r="F29" s="850"/>
      <c r="G29" s="267"/>
      <c r="H29" s="267"/>
      <c r="I29" s="267"/>
      <c r="J29" s="267"/>
      <c r="K29" s="267"/>
      <c r="L29" s="273"/>
      <c r="M29" s="2"/>
    </row>
    <row r="30" spans="1:16" ht="15" thickBot="1" x14ac:dyDescent="0.3">
      <c r="B30" s="847"/>
      <c r="C30" s="848"/>
      <c r="D30" s="848"/>
      <c r="E30" s="851" t="str">
        <f>"$ / "&amp;IF(Intro!$G$21="English",Variables!$B$24,Variables!$C$24)</f>
        <v>$ / MSF</v>
      </c>
      <c r="F30" s="852"/>
      <c r="G30" s="567" t="str">
        <f t="shared" ref="G30:I30" si="4">IF(G28=0,"-",G29/G28)</f>
        <v>-</v>
      </c>
      <c r="H30" s="567" t="str">
        <f t="shared" si="4"/>
        <v>-</v>
      </c>
      <c r="I30" s="567" t="str">
        <f t="shared" si="4"/>
        <v>-</v>
      </c>
      <c r="J30" s="567" t="str">
        <f t="shared" ref="J30:K30" si="5">IF(J28=0,"-",J29/J28)</f>
        <v>-</v>
      </c>
      <c r="K30" s="567" t="str">
        <f t="shared" si="5"/>
        <v>-</v>
      </c>
      <c r="L30" s="273"/>
      <c r="M30" s="2"/>
    </row>
    <row r="31" spans="1:16" x14ac:dyDescent="0.25">
      <c r="B31" s="853" t="str">
        <f>IF(Intro!$G$21="English",O31,P31)</f>
        <v>Sales to end users/OEM in Canada</v>
      </c>
      <c r="C31" s="854"/>
      <c r="D31" s="854"/>
      <c r="E31" s="830" t="str">
        <f>IF(Intro!$G$21="English",Variables!$B$23,Variables!$C$23)</f>
        <v>MSF</v>
      </c>
      <c r="F31" s="831"/>
      <c r="G31" s="265"/>
      <c r="H31" s="265"/>
      <c r="I31" s="265"/>
      <c r="J31" s="265"/>
      <c r="K31" s="265"/>
      <c r="L31" s="273"/>
      <c r="M31" s="2"/>
      <c r="O31" s="2" t="str">
        <f>"Sales to "&amp;Variables!$B$27&amp;" in Canada"</f>
        <v>Sales to end users/OEM in Canada</v>
      </c>
      <c r="P31" s="2" t="str">
        <f>"Ventes aux "&amp;Variables!$C$27&amp;" au Canada"</f>
        <v>Ventes aux utilisateurs finals/FEO au Canada</v>
      </c>
    </row>
    <row r="32" spans="1:16" x14ac:dyDescent="0.25">
      <c r="B32" s="845"/>
      <c r="C32" s="846"/>
      <c r="D32" s="846"/>
      <c r="E32" s="849" t="str">
        <f>IF(Intro!G$21="English","net delivered selling value (CAD)","valeur de vente nette rendue (CAD)")</f>
        <v>net delivered selling value (CAD)</v>
      </c>
      <c r="F32" s="850"/>
      <c r="G32" s="267"/>
      <c r="H32" s="267"/>
      <c r="I32" s="267"/>
      <c r="J32" s="267"/>
      <c r="K32" s="267"/>
      <c r="L32" s="273"/>
      <c r="M32" s="2"/>
    </row>
    <row r="33" spans="1:16" ht="15" thickBot="1" x14ac:dyDescent="0.3">
      <c r="B33" s="847"/>
      <c r="C33" s="848"/>
      <c r="D33" s="848"/>
      <c r="E33" s="851" t="str">
        <f>"$ / "&amp;IF(Intro!$G$21="English",Variables!$B$24,Variables!$C$24)</f>
        <v>$ / MSF</v>
      </c>
      <c r="F33" s="852"/>
      <c r="G33" s="567" t="str">
        <f t="shared" ref="G33:I33" si="6">IF(G31=0,"-",G32/G31)</f>
        <v>-</v>
      </c>
      <c r="H33" s="567" t="str">
        <f t="shared" si="6"/>
        <v>-</v>
      </c>
      <c r="I33" s="567" t="str">
        <f t="shared" si="6"/>
        <v>-</v>
      </c>
      <c r="J33" s="567" t="str">
        <f t="shared" ref="J33:K33" si="7">IF(J31=0,"-",J32/J31)</f>
        <v>-</v>
      </c>
      <c r="K33" s="567" t="str">
        <f t="shared" si="7"/>
        <v>-</v>
      </c>
      <c r="L33" s="273"/>
      <c r="M33" s="2"/>
    </row>
    <row r="34" spans="1:16" x14ac:dyDescent="0.25">
      <c r="B34" s="853" t="str">
        <f>IF(Intro!$G$21="English",O34,P34)</f>
        <v>Sales to retailers in Canada</v>
      </c>
      <c r="C34" s="854"/>
      <c r="D34" s="854"/>
      <c r="E34" s="830" t="str">
        <f>IF(Intro!$G$21="English",Variables!$B$23,Variables!$C$23)</f>
        <v>MSF</v>
      </c>
      <c r="F34" s="831"/>
      <c r="G34" s="265"/>
      <c r="H34" s="265"/>
      <c r="I34" s="265"/>
      <c r="J34" s="265"/>
      <c r="K34" s="265"/>
      <c r="L34" s="273"/>
      <c r="M34" s="2"/>
      <c r="O34" s="2" t="str">
        <f>"Sales to "&amp;Variables!$B$28&amp;" in Canada"</f>
        <v>Sales to retailers in Canada</v>
      </c>
      <c r="P34" s="2" t="str">
        <f>"Ventes aux "&amp;Variables!$C$28&amp;" au Canada"</f>
        <v>Ventes aux détaillants au Canada</v>
      </c>
    </row>
    <row r="35" spans="1:16" x14ac:dyDescent="0.25">
      <c r="B35" s="845"/>
      <c r="C35" s="846"/>
      <c r="D35" s="846"/>
      <c r="E35" s="849" t="str">
        <f>IF(Intro!G$21="English","net delivered selling value (CAD)","valeur de vente nette rendue (CAD)")</f>
        <v>net delivered selling value (CAD)</v>
      </c>
      <c r="F35" s="850"/>
      <c r="G35" s="267"/>
      <c r="H35" s="267"/>
      <c r="I35" s="267"/>
      <c r="J35" s="267"/>
      <c r="K35" s="267"/>
      <c r="L35" s="273"/>
      <c r="M35" s="2"/>
    </row>
    <row r="36" spans="1:16" ht="15" thickBot="1" x14ac:dyDescent="0.3">
      <c r="B36" s="847"/>
      <c r="C36" s="848"/>
      <c r="D36" s="848"/>
      <c r="E36" s="851" t="str">
        <f>"$ / "&amp;IF(Intro!$G$21="English",Variables!$B$24,Variables!$C$24)</f>
        <v>$ / MSF</v>
      </c>
      <c r="F36" s="852"/>
      <c r="G36" s="567" t="str">
        <f t="shared" ref="G36:K36" si="8">IF(G34=0,"-",G35/G34)</f>
        <v>-</v>
      </c>
      <c r="H36" s="567" t="str">
        <f t="shared" si="8"/>
        <v>-</v>
      </c>
      <c r="I36" s="567" t="str">
        <f t="shared" si="8"/>
        <v>-</v>
      </c>
      <c r="J36" s="567" t="str">
        <f t="shared" si="8"/>
        <v>-</v>
      </c>
      <c r="K36" s="567" t="str">
        <f t="shared" si="8"/>
        <v>-</v>
      </c>
      <c r="L36" s="273"/>
      <c r="M36" s="2"/>
    </row>
    <row r="37" spans="1:16" x14ac:dyDescent="0.25">
      <c r="B37" s="843" t="str">
        <f>IF(Intro!$G$21="English",O37,P37)</f>
        <v>Total sales in Canada</v>
      </c>
      <c r="C37" s="844"/>
      <c r="D37" s="844"/>
      <c r="E37" s="830" t="str">
        <f>IF(Intro!$G$21="English",Variables!$B$23,Variables!$C$23)</f>
        <v>MSF</v>
      </c>
      <c r="F37" s="831"/>
      <c r="G37" s="266">
        <f>G28+G31+G34</f>
        <v>0</v>
      </c>
      <c r="H37" s="266">
        <f t="shared" ref="H37:K37" si="9">H28+H31+H34</f>
        <v>0</v>
      </c>
      <c r="I37" s="266">
        <f t="shared" si="9"/>
        <v>0</v>
      </c>
      <c r="J37" s="266">
        <f t="shared" si="9"/>
        <v>0</v>
      </c>
      <c r="K37" s="266">
        <f t="shared" si="9"/>
        <v>0</v>
      </c>
      <c r="L37" s="273"/>
      <c r="M37" s="2"/>
      <c r="O37" s="2" t="s">
        <v>796</v>
      </c>
      <c r="P37" s="2" t="s">
        <v>797</v>
      </c>
    </row>
    <row r="38" spans="1:16" x14ac:dyDescent="0.25">
      <c r="B38" s="845"/>
      <c r="C38" s="846"/>
      <c r="D38" s="846"/>
      <c r="E38" s="849" t="str">
        <f>IF(Intro!G$21="English","net delivered selling value (CAD)","valeur de vente nette rendue (CAD)")</f>
        <v>net delivered selling value (CAD)</v>
      </c>
      <c r="F38" s="850"/>
      <c r="G38" s="268">
        <f>G29+G32+G35</f>
        <v>0</v>
      </c>
      <c r="H38" s="268">
        <f t="shared" ref="H38:K38" si="10">H29+H32+H35</f>
        <v>0</v>
      </c>
      <c r="I38" s="268">
        <f t="shared" si="10"/>
        <v>0</v>
      </c>
      <c r="J38" s="268">
        <f t="shared" si="10"/>
        <v>0</v>
      </c>
      <c r="K38" s="268">
        <f t="shared" si="10"/>
        <v>0</v>
      </c>
      <c r="L38" s="273"/>
      <c r="M38" s="2"/>
    </row>
    <row r="39" spans="1:16" ht="15" thickBot="1" x14ac:dyDescent="0.3">
      <c r="B39" s="847"/>
      <c r="C39" s="848"/>
      <c r="D39" s="848"/>
      <c r="E39" s="851" t="str">
        <f>"$ / "&amp;IF(Intro!$G$21="English",Variables!$B$24,Variables!$C$24)</f>
        <v>$ / MSF</v>
      </c>
      <c r="F39" s="852"/>
      <c r="G39" s="290" t="str">
        <f>IF(G37=0,"-",G38/G37)</f>
        <v>-</v>
      </c>
      <c r="H39" s="290" t="str">
        <f>IF(H37=0,"-",H38/H37)</f>
        <v>-</v>
      </c>
      <c r="I39" s="290" t="str">
        <f>IF(I37=0,"-",I38/I37)</f>
        <v>-</v>
      </c>
      <c r="J39" s="290" t="str">
        <f>IF(J37=0,"-",J38/J37)</f>
        <v>-</v>
      </c>
      <c r="K39" s="290" t="str">
        <f>IF(K37=0,"-",K38/K37)</f>
        <v>-</v>
      </c>
      <c r="L39" s="273"/>
      <c r="M39" s="2"/>
    </row>
    <row r="40" spans="1:16" x14ac:dyDescent="0.25">
      <c r="B40" s="843" t="str">
        <f>IF(Intro!$G$21="English",O40,P40)</f>
        <v>Export sales</v>
      </c>
      <c r="C40" s="844"/>
      <c r="D40" s="844"/>
      <c r="E40" s="830" t="str">
        <f>IF(Intro!$G$21="English",Variables!$B$23,Variables!$C$23)</f>
        <v>MSF</v>
      </c>
      <c r="F40" s="831"/>
      <c r="G40" s="269"/>
      <c r="H40" s="269"/>
      <c r="I40" s="269"/>
      <c r="J40" s="269"/>
      <c r="K40" s="269"/>
      <c r="L40" s="273"/>
      <c r="M40" s="2"/>
      <c r="O40" s="2" t="s">
        <v>566</v>
      </c>
      <c r="P40" s="2" t="s">
        <v>42</v>
      </c>
    </row>
    <row r="41" spans="1:16" x14ac:dyDescent="0.25">
      <c r="B41" s="845"/>
      <c r="C41" s="846"/>
      <c r="D41" s="846"/>
      <c r="E41" s="849" t="str">
        <f>IF(Intro!G$21="English","net delivered selling value (CAD)","valeur de vente nette rendue (CAD)")</f>
        <v>net delivered selling value (CAD)</v>
      </c>
      <c r="F41" s="850"/>
      <c r="G41" s="267"/>
      <c r="H41" s="267"/>
      <c r="I41" s="267"/>
      <c r="J41" s="267"/>
      <c r="K41" s="267"/>
      <c r="L41" s="273"/>
      <c r="M41" s="2"/>
    </row>
    <row r="42" spans="1:16" ht="15" thickBot="1" x14ac:dyDescent="0.3">
      <c r="B42" s="847"/>
      <c r="C42" s="848"/>
      <c r="D42" s="848"/>
      <c r="E42" s="851" t="str">
        <f>"$ / "&amp;IF(Intro!$G$21="English",Variables!$B$24,Variables!$C$24)</f>
        <v>$ / MSF</v>
      </c>
      <c r="F42" s="852"/>
      <c r="G42" s="567" t="str">
        <f t="shared" ref="G42:I42" si="11">IF(G40=0,"-",G41/G40)</f>
        <v>-</v>
      </c>
      <c r="H42" s="567" t="str">
        <f t="shared" si="11"/>
        <v>-</v>
      </c>
      <c r="I42" s="567" t="str">
        <f t="shared" si="11"/>
        <v>-</v>
      </c>
      <c r="J42" s="567" t="str">
        <f t="shared" ref="J42:K42" si="12">IF(J40=0,"-",J41/J40)</f>
        <v>-</v>
      </c>
      <c r="K42" s="567" t="str">
        <f t="shared" si="12"/>
        <v>-</v>
      </c>
      <c r="L42" s="273"/>
      <c r="M42" s="2"/>
    </row>
    <row r="43" spans="1:16" x14ac:dyDescent="0.25">
      <c r="B43" s="843" t="str">
        <f>IF(Intro!$G$21="English",O43,P43)</f>
        <v>Ending inventory - do not include production for internal use or further internal processing</v>
      </c>
      <c r="C43" s="844"/>
      <c r="D43" s="844"/>
      <c r="E43" s="830" t="str">
        <f>IF(Intro!$G$21="English",Variables!$B$23,Variables!$C$23)</f>
        <v>MSF</v>
      </c>
      <c r="F43" s="831"/>
      <c r="G43" s="269"/>
      <c r="H43" s="269"/>
      <c r="I43" s="269"/>
      <c r="J43" s="269"/>
      <c r="K43" s="269"/>
      <c r="L43" s="273"/>
      <c r="M43" s="2"/>
      <c r="O43" s="2" t="s">
        <v>749</v>
      </c>
      <c r="P43" s="2" t="s">
        <v>750</v>
      </c>
    </row>
    <row r="44" spans="1:16" x14ac:dyDescent="0.25">
      <c r="B44" s="845"/>
      <c r="C44" s="846"/>
      <c r="D44" s="846"/>
      <c r="E44" s="849" t="s">
        <v>560</v>
      </c>
      <c r="F44" s="850"/>
      <c r="G44" s="267"/>
      <c r="H44" s="267"/>
      <c r="I44" s="267"/>
      <c r="J44" s="267"/>
      <c r="K44" s="267"/>
      <c r="L44" s="273"/>
      <c r="M44" s="2"/>
    </row>
    <row r="45" spans="1:16" ht="15" thickBot="1" x14ac:dyDescent="0.3">
      <c r="B45" s="847"/>
      <c r="C45" s="848"/>
      <c r="D45" s="848"/>
      <c r="E45" s="851" t="str">
        <f>"$ / "&amp;IF(Intro!$G$21="English",Variables!$B$24,Variables!$C$24)</f>
        <v>$ / MSF</v>
      </c>
      <c r="F45" s="852"/>
      <c r="G45" s="567" t="str">
        <f t="shared" ref="G45:I45" si="13">IF(G43=0,"-",G44/G43)</f>
        <v>-</v>
      </c>
      <c r="H45" s="567" t="str">
        <f t="shared" si="13"/>
        <v>-</v>
      </c>
      <c r="I45" s="567" t="str">
        <f t="shared" si="13"/>
        <v>-</v>
      </c>
      <c r="J45" s="567" t="str">
        <f t="shared" ref="J45:K45" si="14">IF(J43=0,"-",J44/J43)</f>
        <v>-</v>
      </c>
      <c r="K45" s="567" t="str">
        <f t="shared" si="14"/>
        <v>-</v>
      </c>
      <c r="L45" s="273"/>
      <c r="M45" s="2"/>
    </row>
    <row r="46" spans="1:16" x14ac:dyDescent="0.25">
      <c r="B46" s="176"/>
      <c r="C46" s="177"/>
      <c r="D46" s="177"/>
      <c r="E46" s="177"/>
      <c r="F46" s="177"/>
      <c r="G46" s="177"/>
      <c r="H46" s="177"/>
      <c r="I46" s="177"/>
      <c r="J46" s="177"/>
      <c r="K46" s="177"/>
      <c r="L46" s="178"/>
      <c r="M46" s="2"/>
    </row>
    <row r="47" spans="1:16" s="3" customFormat="1" x14ac:dyDescent="0.25">
      <c r="A47" s="12"/>
      <c r="B47" s="711" t="s">
        <v>21</v>
      </c>
      <c r="C47" s="712"/>
      <c r="D47" s="712"/>
      <c r="E47" s="712"/>
      <c r="F47" s="712"/>
      <c r="G47" s="712"/>
      <c r="H47" s="712"/>
      <c r="I47" s="712"/>
      <c r="J47" s="712"/>
      <c r="K47" s="712"/>
      <c r="L47" s="713"/>
      <c r="M47" s="168"/>
      <c r="O47" s="2"/>
    </row>
    <row r="48" spans="1:16" x14ac:dyDescent="0.25">
      <c r="B48" s="170"/>
      <c r="C48" s="171"/>
      <c r="D48" s="171"/>
      <c r="E48" s="171"/>
      <c r="F48" s="171"/>
      <c r="G48" s="171"/>
      <c r="H48" s="171"/>
      <c r="I48" s="171"/>
      <c r="J48" s="171"/>
      <c r="K48" s="171"/>
      <c r="L48" s="172"/>
      <c r="M48" s="2"/>
    </row>
    <row r="49" spans="1:16" ht="15" x14ac:dyDescent="0.25">
      <c r="B49" s="634" t="str">
        <f>IF(Intro!$G$21="English",O49,P49)</f>
        <v>Using data provided in Question 1 on the Pro 1 and Pro 2 tabs, the questionnaire calculates ending inventory as follows:</v>
      </c>
      <c r="C49" s="635"/>
      <c r="D49" s="635"/>
      <c r="E49" s="635"/>
      <c r="F49" s="635"/>
      <c r="G49" s="635"/>
      <c r="H49" s="635"/>
      <c r="I49" s="635"/>
      <c r="J49" s="635"/>
      <c r="K49" s="635"/>
      <c r="L49" s="636"/>
      <c r="M49" s="2"/>
      <c r="O49" t="s">
        <v>718</v>
      </c>
      <c r="P49" s="2" t="s">
        <v>719</v>
      </c>
    </row>
    <row r="50" spans="1:16" x14ac:dyDescent="0.25">
      <c r="B50" s="634"/>
      <c r="C50" s="635"/>
      <c r="D50" s="635"/>
      <c r="E50" s="635"/>
      <c r="F50" s="635"/>
      <c r="G50" s="635"/>
      <c r="H50" s="635"/>
      <c r="I50" s="635"/>
      <c r="J50" s="635"/>
      <c r="K50" s="635"/>
      <c r="L50" s="636"/>
      <c r="M50" s="2"/>
    </row>
    <row r="51" spans="1:16" x14ac:dyDescent="0.25">
      <c r="B51" s="159"/>
      <c r="C51" s="160"/>
      <c r="D51" s="25"/>
      <c r="E51" s="2"/>
      <c r="F51" s="2"/>
      <c r="G51" s="826">
        <f>Variables!$B$6</f>
        <v>2023</v>
      </c>
      <c r="H51" s="826">
        <f>G51+1</f>
        <v>2024</v>
      </c>
      <c r="I51" s="826">
        <f>H51+1</f>
        <v>2025</v>
      </c>
      <c r="J51" s="826" t="str">
        <f>J23</f>
        <v>Jan-Mar 2025</v>
      </c>
      <c r="K51" s="826" t="str">
        <f>K23</f>
        <v>Jan-Mar 2026</v>
      </c>
      <c r="L51" s="273"/>
      <c r="M51" s="2"/>
      <c r="O51" s="11"/>
    </row>
    <row r="52" spans="1:16" x14ac:dyDescent="0.25">
      <c r="B52" s="159"/>
      <c r="C52" s="160"/>
      <c r="D52" s="25"/>
      <c r="E52" s="2"/>
      <c r="F52" s="2"/>
      <c r="G52" s="827"/>
      <c r="H52" s="827"/>
      <c r="I52" s="827"/>
      <c r="J52" s="827"/>
      <c r="K52" s="827"/>
      <c r="L52" s="273"/>
      <c r="M52" s="2"/>
      <c r="O52" s="11"/>
    </row>
    <row r="53" spans="1:16" ht="14.1" customHeight="1" x14ac:dyDescent="0.25">
      <c r="B53" s="834" t="str">
        <f>IF(Intro!$G$21="English",O56,P56)</f>
        <v>Calculated ending inventory</v>
      </c>
      <c r="C53" s="835"/>
      <c r="D53" s="835"/>
      <c r="E53" s="835"/>
      <c r="F53" s="840" t="str">
        <f>IF(Intro!$G$21="English",Variables!$B$23,Variables!$C$23)</f>
        <v>MSF</v>
      </c>
      <c r="G53" s="823" t="str">
        <f ca="1">_xlfn.FORMULATEXT(G56)</f>
        <v>=G25+'Pro 1'!G23-'Pro 1'!G22-G37-G40</v>
      </c>
      <c r="H53" s="823" t="str">
        <f t="shared" ref="H53:K53" ca="1" si="15">_xlfn.FORMULATEXT(H56)</f>
        <v>=H25+'Pro 1'!H23-'Pro 1'!H22-H37-H40</v>
      </c>
      <c r="I53" s="823" t="str">
        <f t="shared" ca="1" si="15"/>
        <v>=I25+'Pro 1'!I23-'Pro 1'!I22-I37-I40</v>
      </c>
      <c r="J53" s="823" t="str">
        <f t="shared" ca="1" si="15"/>
        <v>=J25+'Pro 1'!J23-'Pro 1'!J22-J37-J40</v>
      </c>
      <c r="K53" s="823" t="str">
        <f t="shared" ca="1" si="15"/>
        <v>=K25+'Pro 1'!K23-'Pro 1'!K22-K37-K40</v>
      </c>
      <c r="L53" s="273"/>
      <c r="M53" s="2"/>
      <c r="O53" s="11"/>
    </row>
    <row r="54" spans="1:16" x14ac:dyDescent="0.25">
      <c r="B54" s="836"/>
      <c r="C54" s="837"/>
      <c r="D54" s="837"/>
      <c r="E54" s="837"/>
      <c r="F54" s="841"/>
      <c r="G54" s="824"/>
      <c r="H54" s="824"/>
      <c r="I54" s="824"/>
      <c r="J54" s="824"/>
      <c r="K54" s="824"/>
      <c r="L54" s="273"/>
      <c r="M54" s="2"/>
      <c r="O54" s="11"/>
    </row>
    <row r="55" spans="1:16" x14ac:dyDescent="0.25">
      <c r="B55" s="836"/>
      <c r="C55" s="837"/>
      <c r="D55" s="837"/>
      <c r="E55" s="837"/>
      <c r="F55" s="841"/>
      <c r="G55" s="825"/>
      <c r="H55" s="825"/>
      <c r="I55" s="825"/>
      <c r="J55" s="825"/>
      <c r="K55" s="825"/>
      <c r="L55" s="273"/>
      <c r="M55" s="2"/>
      <c r="O55" s="11"/>
    </row>
    <row r="56" spans="1:16" ht="14.1" customHeight="1" x14ac:dyDescent="0.25">
      <c r="B56" s="838"/>
      <c r="C56" s="839"/>
      <c r="D56" s="839"/>
      <c r="E56" s="839"/>
      <c r="F56" s="842"/>
      <c r="G56" s="270">
        <f>G25+'Pro 1'!G23-'Pro 1'!G22-G37-G40</f>
        <v>0</v>
      </c>
      <c r="H56" s="270">
        <f>H25+'Pro 1'!H23-'Pro 1'!H22-H37-H40</f>
        <v>0</v>
      </c>
      <c r="I56" s="270">
        <f>I25+'Pro 1'!I23-'Pro 1'!I22-I37-I40</f>
        <v>0</v>
      </c>
      <c r="J56" s="270">
        <f>J25+'Pro 1'!J23-'Pro 1'!J22-J37-J40</f>
        <v>0</v>
      </c>
      <c r="K56" s="270">
        <f>K25+'Pro 1'!K23-'Pro 1'!K22-K37-K40</f>
        <v>0</v>
      </c>
      <c r="L56" s="273"/>
      <c r="M56" s="2"/>
      <c r="O56" s="2" t="s">
        <v>790</v>
      </c>
      <c r="P56" s="2" t="s">
        <v>791</v>
      </c>
    </row>
    <row r="57" spans="1:16" x14ac:dyDescent="0.25">
      <c r="B57" s="858" t="str">
        <f>IF(Intro!$G$21="English",O57,P57)</f>
        <v>Difference between the reported ending inventory in Question 1 above and the calculated ending inventory</v>
      </c>
      <c r="C57" s="859"/>
      <c r="D57" s="859"/>
      <c r="E57" s="860"/>
      <c r="F57" s="856" t="str">
        <f>IF(Intro!$G$21="English",Variables!$B$23,Variables!$C$23)</f>
        <v>MSF</v>
      </c>
      <c r="G57" s="832">
        <f>G43-G56</f>
        <v>0</v>
      </c>
      <c r="H57" s="832">
        <f>H43-H56</f>
        <v>0</v>
      </c>
      <c r="I57" s="832">
        <f>I43-I56</f>
        <v>0</v>
      </c>
      <c r="J57" s="832">
        <f>J43-J56</f>
        <v>0</v>
      </c>
      <c r="K57" s="871">
        <f>K43-K56</f>
        <v>0</v>
      </c>
      <c r="L57" s="273"/>
      <c r="M57" s="2"/>
      <c r="O57" s="2" t="s">
        <v>792</v>
      </c>
      <c r="P57" s="2" t="s">
        <v>793</v>
      </c>
    </row>
    <row r="58" spans="1:16" x14ac:dyDescent="0.25">
      <c r="B58" s="861"/>
      <c r="C58" s="862"/>
      <c r="D58" s="862"/>
      <c r="E58" s="863"/>
      <c r="F58" s="857"/>
      <c r="G58" s="833"/>
      <c r="H58" s="833"/>
      <c r="I58" s="833"/>
      <c r="J58" s="833"/>
      <c r="K58" s="872"/>
      <c r="L58" s="273"/>
      <c r="M58" s="2"/>
    </row>
    <row r="59" spans="1:16" x14ac:dyDescent="0.25">
      <c r="B59" s="170"/>
      <c r="C59" s="171"/>
      <c r="D59" s="171"/>
      <c r="E59" s="171"/>
      <c r="F59" s="171"/>
      <c r="G59" s="171"/>
      <c r="H59" s="171"/>
      <c r="I59" s="171"/>
      <c r="J59" s="171"/>
      <c r="K59" s="171"/>
      <c r="L59" s="172"/>
      <c r="M59" s="2"/>
    </row>
    <row r="60" spans="1:16" x14ac:dyDescent="0.25">
      <c r="B60" s="708" t="str">
        <f>IF(Intro!$G$21="English",O60,P60)</f>
        <v>If the volume of ending inventory in Question 1 on the Pro 2 tab differs from the calculated ending inventory, explain why there is a difference.</v>
      </c>
      <c r="C60" s="709"/>
      <c r="D60" s="709"/>
      <c r="E60" s="709"/>
      <c r="F60" s="709"/>
      <c r="G60" s="709"/>
      <c r="H60" s="709"/>
      <c r="I60" s="709"/>
      <c r="J60" s="709"/>
      <c r="K60" s="709"/>
      <c r="L60" s="710"/>
      <c r="M60" s="2"/>
      <c r="O60" s="16" t="s">
        <v>357</v>
      </c>
      <c r="P60" s="2" t="s">
        <v>694</v>
      </c>
    </row>
    <row r="61" spans="1:16" x14ac:dyDescent="0.25">
      <c r="B61" s="170"/>
      <c r="C61" s="171"/>
      <c r="D61" s="171"/>
      <c r="E61" s="171"/>
      <c r="F61" s="171"/>
      <c r="G61" s="171"/>
      <c r="H61" s="171"/>
      <c r="I61" s="171"/>
      <c r="J61" s="171"/>
      <c r="K61" s="171"/>
      <c r="L61" s="172"/>
      <c r="M61" s="2"/>
    </row>
    <row r="62" spans="1:16" s="3" customFormat="1" x14ac:dyDescent="0.25">
      <c r="A62" s="12"/>
      <c r="B62" s="705"/>
      <c r="C62" s="706"/>
      <c r="D62" s="706"/>
      <c r="E62" s="706"/>
      <c r="F62" s="706"/>
      <c r="G62" s="706"/>
      <c r="H62" s="706"/>
      <c r="I62" s="706"/>
      <c r="J62" s="706"/>
      <c r="K62" s="706"/>
      <c r="L62" s="707"/>
      <c r="M62" s="152"/>
      <c r="O62" s="154"/>
      <c r="P62" s="154"/>
    </row>
    <row r="63" spans="1:16" s="3" customFormat="1" x14ac:dyDescent="0.25">
      <c r="A63" s="12"/>
      <c r="B63" s="705"/>
      <c r="C63" s="706"/>
      <c r="D63" s="706"/>
      <c r="E63" s="706"/>
      <c r="F63" s="706"/>
      <c r="G63" s="706"/>
      <c r="H63" s="706"/>
      <c r="I63" s="706"/>
      <c r="J63" s="706"/>
      <c r="K63" s="706"/>
      <c r="L63" s="707"/>
      <c r="M63" s="152"/>
      <c r="O63" s="154"/>
      <c r="P63" s="154"/>
    </row>
    <row r="64" spans="1:16" s="3" customFormat="1" x14ac:dyDescent="0.25">
      <c r="A64" s="12"/>
      <c r="B64" s="705"/>
      <c r="C64" s="706"/>
      <c r="D64" s="706"/>
      <c r="E64" s="706"/>
      <c r="F64" s="706"/>
      <c r="G64" s="706"/>
      <c r="H64" s="706"/>
      <c r="I64" s="706"/>
      <c r="J64" s="706"/>
      <c r="K64" s="706"/>
      <c r="L64" s="707"/>
      <c r="M64" s="152"/>
      <c r="O64" s="154"/>
      <c r="P64" s="154"/>
    </row>
    <row r="65" spans="1:16" s="3" customFormat="1" x14ac:dyDescent="0.25">
      <c r="A65" s="12"/>
      <c r="B65" s="705"/>
      <c r="C65" s="706"/>
      <c r="D65" s="706"/>
      <c r="E65" s="706"/>
      <c r="F65" s="706"/>
      <c r="G65" s="706"/>
      <c r="H65" s="706"/>
      <c r="I65" s="706"/>
      <c r="J65" s="706"/>
      <c r="K65" s="706"/>
      <c r="L65" s="707"/>
      <c r="M65" s="152"/>
      <c r="O65" s="154"/>
      <c r="P65" s="154"/>
    </row>
    <row r="66" spans="1:16" s="3" customFormat="1" x14ac:dyDescent="0.25">
      <c r="A66" s="12"/>
      <c r="B66" s="705"/>
      <c r="C66" s="706"/>
      <c r="D66" s="706"/>
      <c r="E66" s="706"/>
      <c r="F66" s="706"/>
      <c r="G66" s="706"/>
      <c r="H66" s="706"/>
      <c r="I66" s="706"/>
      <c r="J66" s="706"/>
      <c r="K66" s="706"/>
      <c r="L66" s="707"/>
      <c r="M66" s="152"/>
      <c r="O66" s="154"/>
      <c r="P66" s="154"/>
    </row>
    <row r="67" spans="1:16" s="3" customFormat="1" x14ac:dyDescent="0.25">
      <c r="A67" s="12"/>
      <c r="B67" s="705"/>
      <c r="C67" s="706"/>
      <c r="D67" s="706"/>
      <c r="E67" s="706"/>
      <c r="F67" s="706"/>
      <c r="G67" s="706"/>
      <c r="H67" s="706"/>
      <c r="I67" s="706"/>
      <c r="J67" s="706"/>
      <c r="K67" s="706"/>
      <c r="L67" s="707"/>
      <c r="M67" s="152"/>
      <c r="O67" s="154"/>
      <c r="P67" s="154"/>
    </row>
    <row r="68" spans="1:16" s="3" customFormat="1" x14ac:dyDescent="0.25">
      <c r="A68" s="12"/>
      <c r="B68" s="705"/>
      <c r="C68" s="706"/>
      <c r="D68" s="706"/>
      <c r="E68" s="706"/>
      <c r="F68" s="706"/>
      <c r="G68" s="706"/>
      <c r="H68" s="706"/>
      <c r="I68" s="706"/>
      <c r="J68" s="706"/>
      <c r="K68" s="706"/>
      <c r="L68" s="707"/>
      <c r="M68" s="152"/>
      <c r="O68" s="154"/>
      <c r="P68" s="154"/>
    </row>
    <row r="69" spans="1:16" s="3" customFormat="1" x14ac:dyDescent="0.25">
      <c r="A69" s="12"/>
      <c r="B69" s="705"/>
      <c r="C69" s="706"/>
      <c r="D69" s="706"/>
      <c r="E69" s="706"/>
      <c r="F69" s="706"/>
      <c r="G69" s="706"/>
      <c r="H69" s="706"/>
      <c r="I69" s="706"/>
      <c r="J69" s="706"/>
      <c r="K69" s="706"/>
      <c r="L69" s="707"/>
      <c r="M69" s="152"/>
      <c r="O69" s="154"/>
      <c r="P69" s="154"/>
    </row>
    <row r="70" spans="1:16" x14ac:dyDescent="0.25">
      <c r="B70" s="176"/>
      <c r="C70" s="177"/>
      <c r="D70" s="177"/>
      <c r="E70" s="177"/>
      <c r="F70" s="177"/>
      <c r="G70" s="177"/>
      <c r="H70" s="177"/>
      <c r="I70" s="177"/>
      <c r="J70" s="177"/>
      <c r="K70" s="177"/>
      <c r="L70" s="178"/>
      <c r="M70" s="2"/>
    </row>
    <row r="71" spans="1:16" s="3" customFormat="1" x14ac:dyDescent="0.25">
      <c r="A71" s="12"/>
      <c r="B71" s="711" t="s">
        <v>26</v>
      </c>
      <c r="C71" s="712"/>
      <c r="D71" s="712"/>
      <c r="E71" s="712"/>
      <c r="F71" s="712"/>
      <c r="G71" s="712"/>
      <c r="H71" s="712"/>
      <c r="I71" s="712"/>
      <c r="J71" s="712"/>
      <c r="K71" s="712"/>
      <c r="L71" s="713"/>
      <c r="M71" s="168"/>
    </row>
    <row r="72" spans="1:16" x14ac:dyDescent="0.25">
      <c r="B72" s="170"/>
      <c r="C72" s="171"/>
      <c r="D72" s="171"/>
      <c r="E72" s="171"/>
      <c r="F72" s="171"/>
      <c r="G72" s="171"/>
      <c r="H72" s="171"/>
      <c r="I72" s="171"/>
      <c r="J72" s="171"/>
      <c r="K72" s="171"/>
      <c r="L72" s="172"/>
      <c r="M72" s="2"/>
    </row>
    <row r="73" spans="1:16" x14ac:dyDescent="0.25">
      <c r="B73" s="634" t="str">
        <f>IF(Intro!$G$21="English",O73,P73)</f>
        <v>Describe how your firm determines the value of inventory. Provide any changes in the method of valuation or major write-downs of inventory that have occurred since January 1, 2023.</v>
      </c>
      <c r="C73" s="635"/>
      <c r="D73" s="635"/>
      <c r="E73" s="635"/>
      <c r="F73" s="635"/>
      <c r="G73" s="635"/>
      <c r="H73" s="635"/>
      <c r="I73" s="635"/>
      <c r="J73" s="635"/>
      <c r="K73" s="635"/>
      <c r="L73" s="636"/>
      <c r="M73" s="2"/>
      <c r="O73" s="2"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73" s="2"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74" spans="1:16" x14ac:dyDescent="0.25">
      <c r="B74" s="634"/>
      <c r="C74" s="635"/>
      <c r="D74" s="635"/>
      <c r="E74" s="635"/>
      <c r="F74" s="635"/>
      <c r="G74" s="635"/>
      <c r="H74" s="635"/>
      <c r="I74" s="635"/>
      <c r="J74" s="635"/>
      <c r="K74" s="635"/>
      <c r="L74" s="636"/>
      <c r="M74" s="2"/>
    </row>
    <row r="75" spans="1:16" x14ac:dyDescent="0.25">
      <c r="B75" s="170"/>
      <c r="C75" s="171"/>
      <c r="D75" s="171"/>
      <c r="E75" s="171"/>
      <c r="F75" s="171"/>
      <c r="G75" s="171"/>
      <c r="H75" s="171"/>
      <c r="I75" s="171"/>
      <c r="J75" s="171"/>
      <c r="K75" s="171"/>
      <c r="L75" s="172"/>
      <c r="M75" s="2"/>
    </row>
    <row r="76" spans="1:16" s="3" customFormat="1" x14ac:dyDescent="0.25">
      <c r="A76" s="12"/>
      <c r="B76" s="705"/>
      <c r="C76" s="706"/>
      <c r="D76" s="706"/>
      <c r="E76" s="706"/>
      <c r="F76" s="706"/>
      <c r="G76" s="706"/>
      <c r="H76" s="706"/>
      <c r="I76" s="706"/>
      <c r="J76" s="706"/>
      <c r="K76" s="706"/>
      <c r="L76" s="707"/>
      <c r="M76" s="152"/>
      <c r="O76" s="154"/>
      <c r="P76" s="154"/>
    </row>
    <row r="77" spans="1:16" s="3" customFormat="1" x14ac:dyDescent="0.25">
      <c r="A77" s="12"/>
      <c r="B77" s="705"/>
      <c r="C77" s="706"/>
      <c r="D77" s="706"/>
      <c r="E77" s="706"/>
      <c r="F77" s="706"/>
      <c r="G77" s="706"/>
      <c r="H77" s="706"/>
      <c r="I77" s="706"/>
      <c r="J77" s="706"/>
      <c r="K77" s="706"/>
      <c r="L77" s="707"/>
      <c r="M77" s="152"/>
      <c r="O77" s="154"/>
      <c r="P77" s="154"/>
    </row>
    <row r="78" spans="1:16" s="3" customFormat="1" x14ac:dyDescent="0.25">
      <c r="A78" s="12"/>
      <c r="B78" s="705"/>
      <c r="C78" s="706"/>
      <c r="D78" s="706"/>
      <c r="E78" s="706"/>
      <c r="F78" s="706"/>
      <c r="G78" s="706"/>
      <c r="H78" s="706"/>
      <c r="I78" s="706"/>
      <c r="J78" s="706"/>
      <c r="K78" s="706"/>
      <c r="L78" s="707"/>
      <c r="M78" s="152"/>
      <c r="O78" s="154"/>
      <c r="P78" s="154"/>
    </row>
    <row r="79" spans="1:16" s="3" customFormat="1" x14ac:dyDescent="0.25">
      <c r="A79" s="12"/>
      <c r="B79" s="705"/>
      <c r="C79" s="706"/>
      <c r="D79" s="706"/>
      <c r="E79" s="706"/>
      <c r="F79" s="706"/>
      <c r="G79" s="706"/>
      <c r="H79" s="706"/>
      <c r="I79" s="706"/>
      <c r="J79" s="706"/>
      <c r="K79" s="706"/>
      <c r="L79" s="707"/>
      <c r="M79" s="152"/>
      <c r="O79" s="154"/>
      <c r="P79" s="154"/>
    </row>
    <row r="80" spans="1:16" s="3" customFormat="1" x14ac:dyDescent="0.25">
      <c r="A80" s="12"/>
      <c r="B80" s="705"/>
      <c r="C80" s="706"/>
      <c r="D80" s="706"/>
      <c r="E80" s="706"/>
      <c r="F80" s="706"/>
      <c r="G80" s="706"/>
      <c r="H80" s="706"/>
      <c r="I80" s="706"/>
      <c r="J80" s="706"/>
      <c r="K80" s="706"/>
      <c r="L80" s="707"/>
      <c r="M80" s="152"/>
      <c r="O80" s="154"/>
      <c r="P80" s="154"/>
    </row>
    <row r="81" spans="1:16" s="3" customFormat="1" x14ac:dyDescent="0.25">
      <c r="A81" s="12"/>
      <c r="B81" s="705"/>
      <c r="C81" s="706"/>
      <c r="D81" s="706"/>
      <c r="E81" s="706"/>
      <c r="F81" s="706"/>
      <c r="G81" s="706"/>
      <c r="H81" s="706"/>
      <c r="I81" s="706"/>
      <c r="J81" s="706"/>
      <c r="K81" s="706"/>
      <c r="L81" s="707"/>
      <c r="M81" s="152"/>
      <c r="O81" s="154"/>
      <c r="P81" s="154"/>
    </row>
    <row r="82" spans="1:16" s="3" customFormat="1" x14ac:dyDescent="0.25">
      <c r="A82" s="12"/>
      <c r="B82" s="705"/>
      <c r="C82" s="706"/>
      <c r="D82" s="706"/>
      <c r="E82" s="706"/>
      <c r="F82" s="706"/>
      <c r="G82" s="706"/>
      <c r="H82" s="706"/>
      <c r="I82" s="706"/>
      <c r="J82" s="706"/>
      <c r="K82" s="706"/>
      <c r="L82" s="707"/>
      <c r="M82" s="152"/>
      <c r="O82" s="154"/>
      <c r="P82" s="154"/>
    </row>
    <row r="83" spans="1:16" s="3" customFormat="1" x14ac:dyDescent="0.25">
      <c r="A83" s="12"/>
      <c r="B83" s="705"/>
      <c r="C83" s="706"/>
      <c r="D83" s="706"/>
      <c r="E83" s="706"/>
      <c r="F83" s="706"/>
      <c r="G83" s="706"/>
      <c r="H83" s="706"/>
      <c r="I83" s="706"/>
      <c r="J83" s="706"/>
      <c r="K83" s="706"/>
      <c r="L83" s="707"/>
      <c r="M83" s="152"/>
      <c r="O83" s="154"/>
      <c r="P83" s="154"/>
    </row>
    <row r="84" spans="1:16" x14ac:dyDescent="0.25">
      <c r="B84" s="176"/>
      <c r="C84" s="177"/>
      <c r="D84" s="177"/>
      <c r="E84" s="177"/>
      <c r="F84" s="177"/>
      <c r="G84" s="177"/>
      <c r="H84" s="177"/>
      <c r="I84" s="177"/>
      <c r="J84" s="177"/>
      <c r="K84" s="177"/>
      <c r="L84" s="178"/>
      <c r="M84" s="2"/>
    </row>
    <row r="85" spans="1:16" s="3" customFormat="1" x14ac:dyDescent="0.25">
      <c r="A85" s="12"/>
      <c r="B85" s="711" t="s">
        <v>27</v>
      </c>
      <c r="C85" s="712"/>
      <c r="D85" s="712"/>
      <c r="E85" s="712"/>
      <c r="F85" s="712"/>
      <c r="G85" s="712"/>
      <c r="H85" s="712"/>
      <c r="I85" s="712"/>
      <c r="J85" s="712"/>
      <c r="K85" s="712"/>
      <c r="L85" s="713"/>
      <c r="M85" s="168"/>
    </row>
    <row r="86" spans="1:16" x14ac:dyDescent="0.25">
      <c r="B86" s="170"/>
      <c r="C86" s="171"/>
      <c r="D86" s="171"/>
      <c r="E86" s="171"/>
      <c r="F86" s="171"/>
      <c r="G86" s="171"/>
      <c r="H86" s="171"/>
      <c r="I86" s="171"/>
      <c r="J86" s="171"/>
      <c r="K86" s="171"/>
      <c r="L86" s="172"/>
      <c r="M86" s="2"/>
    </row>
    <row r="87" spans="1:16" x14ac:dyDescent="0.25">
      <c r="B87" s="634" t="str">
        <f>IF(Intro!$G$21="English",O87,P87)</f>
        <v>Describe any changes in your firm’s inventory levels of the goods since January 1, 2023 and whether these changes impacted your firm’s ability to supply customers.</v>
      </c>
      <c r="C87" s="635"/>
      <c r="D87" s="635"/>
      <c r="E87" s="635"/>
      <c r="F87" s="635"/>
      <c r="G87" s="635"/>
      <c r="H87" s="635"/>
      <c r="I87" s="635"/>
      <c r="J87" s="635"/>
      <c r="K87" s="635"/>
      <c r="L87" s="636"/>
      <c r="M87" s="2"/>
      <c r="O87" s="2"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87" s="2"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88" spans="1:16" x14ac:dyDescent="0.25">
      <c r="B88" s="634"/>
      <c r="C88" s="635"/>
      <c r="D88" s="635"/>
      <c r="E88" s="635"/>
      <c r="F88" s="635"/>
      <c r="G88" s="635"/>
      <c r="H88" s="635"/>
      <c r="I88" s="635"/>
      <c r="J88" s="635"/>
      <c r="K88" s="635"/>
      <c r="L88" s="636"/>
      <c r="M88" s="2"/>
    </row>
    <row r="89" spans="1:16" x14ac:dyDescent="0.25">
      <c r="B89" s="170"/>
      <c r="C89" s="171"/>
      <c r="D89" s="171"/>
      <c r="E89" s="171"/>
      <c r="F89" s="171"/>
      <c r="G89" s="171"/>
      <c r="H89" s="171"/>
      <c r="I89" s="171"/>
      <c r="J89" s="171"/>
      <c r="K89" s="171"/>
      <c r="L89" s="172"/>
      <c r="M89" s="2"/>
    </row>
    <row r="90" spans="1:16" s="3" customFormat="1" x14ac:dyDescent="0.25">
      <c r="A90" s="12"/>
      <c r="B90" s="705"/>
      <c r="C90" s="706"/>
      <c r="D90" s="706"/>
      <c r="E90" s="706"/>
      <c r="F90" s="706"/>
      <c r="G90" s="706"/>
      <c r="H90" s="706"/>
      <c r="I90" s="706"/>
      <c r="J90" s="706"/>
      <c r="K90" s="706"/>
      <c r="L90" s="707"/>
      <c r="M90" s="152"/>
      <c r="O90" s="154"/>
      <c r="P90" s="154"/>
    </row>
    <row r="91" spans="1:16" s="3" customFormat="1" x14ac:dyDescent="0.25">
      <c r="A91" s="12"/>
      <c r="B91" s="705"/>
      <c r="C91" s="706"/>
      <c r="D91" s="706"/>
      <c r="E91" s="706"/>
      <c r="F91" s="706"/>
      <c r="G91" s="706"/>
      <c r="H91" s="706"/>
      <c r="I91" s="706"/>
      <c r="J91" s="706"/>
      <c r="K91" s="706"/>
      <c r="L91" s="707"/>
      <c r="M91" s="152"/>
      <c r="O91" s="154"/>
      <c r="P91" s="154"/>
    </row>
    <row r="92" spans="1:16" s="3" customFormat="1" x14ac:dyDescent="0.25">
      <c r="A92" s="12"/>
      <c r="B92" s="705"/>
      <c r="C92" s="706"/>
      <c r="D92" s="706"/>
      <c r="E92" s="706"/>
      <c r="F92" s="706"/>
      <c r="G92" s="706"/>
      <c r="H92" s="706"/>
      <c r="I92" s="706"/>
      <c r="J92" s="706"/>
      <c r="K92" s="706"/>
      <c r="L92" s="707"/>
      <c r="M92" s="152"/>
      <c r="O92" s="154"/>
      <c r="P92" s="154"/>
    </row>
    <row r="93" spans="1:16" s="3" customFormat="1" x14ac:dyDescent="0.25">
      <c r="A93" s="12"/>
      <c r="B93" s="705"/>
      <c r="C93" s="706"/>
      <c r="D93" s="706"/>
      <c r="E93" s="706"/>
      <c r="F93" s="706"/>
      <c r="G93" s="706"/>
      <c r="H93" s="706"/>
      <c r="I93" s="706"/>
      <c r="J93" s="706"/>
      <c r="K93" s="706"/>
      <c r="L93" s="707"/>
      <c r="M93" s="152"/>
      <c r="O93" s="154"/>
      <c r="P93" s="154"/>
    </row>
    <row r="94" spans="1:16" s="3" customFormat="1" x14ac:dyDescent="0.25">
      <c r="A94" s="12"/>
      <c r="B94" s="705"/>
      <c r="C94" s="706"/>
      <c r="D94" s="706"/>
      <c r="E94" s="706"/>
      <c r="F94" s="706"/>
      <c r="G94" s="706"/>
      <c r="H94" s="706"/>
      <c r="I94" s="706"/>
      <c r="J94" s="706"/>
      <c r="K94" s="706"/>
      <c r="L94" s="707"/>
      <c r="M94" s="152"/>
      <c r="O94" s="154"/>
      <c r="P94" s="154"/>
    </row>
    <row r="95" spans="1:16" s="3" customFormat="1" x14ac:dyDescent="0.25">
      <c r="A95" s="12"/>
      <c r="B95" s="705"/>
      <c r="C95" s="706"/>
      <c r="D95" s="706"/>
      <c r="E95" s="706"/>
      <c r="F95" s="706"/>
      <c r="G95" s="706"/>
      <c r="H95" s="706"/>
      <c r="I95" s="706"/>
      <c r="J95" s="706"/>
      <c r="K95" s="706"/>
      <c r="L95" s="707"/>
      <c r="M95" s="152"/>
      <c r="O95" s="154"/>
      <c r="P95" s="154"/>
    </row>
    <row r="96" spans="1:16" s="3" customFormat="1" x14ac:dyDescent="0.25">
      <c r="A96" s="12"/>
      <c r="B96" s="705"/>
      <c r="C96" s="706"/>
      <c r="D96" s="706"/>
      <c r="E96" s="706"/>
      <c r="F96" s="706"/>
      <c r="G96" s="706"/>
      <c r="H96" s="706"/>
      <c r="I96" s="706"/>
      <c r="J96" s="706"/>
      <c r="K96" s="706"/>
      <c r="L96" s="707"/>
      <c r="M96" s="152"/>
      <c r="O96" s="154"/>
      <c r="P96" s="154"/>
    </row>
    <row r="97" spans="1:16" s="3" customFormat="1" x14ac:dyDescent="0.25">
      <c r="A97" s="12"/>
      <c r="B97" s="705"/>
      <c r="C97" s="706"/>
      <c r="D97" s="706"/>
      <c r="E97" s="706"/>
      <c r="F97" s="706"/>
      <c r="G97" s="706"/>
      <c r="H97" s="706"/>
      <c r="I97" s="706"/>
      <c r="J97" s="706"/>
      <c r="K97" s="706"/>
      <c r="L97" s="707"/>
      <c r="M97" s="152"/>
      <c r="O97" s="154"/>
      <c r="P97" s="154"/>
    </row>
    <row r="98" spans="1:16" x14ac:dyDescent="0.25">
      <c r="B98" s="176"/>
      <c r="C98" s="177"/>
      <c r="D98" s="177"/>
      <c r="E98" s="177"/>
      <c r="F98" s="177"/>
      <c r="G98" s="177"/>
      <c r="H98" s="177"/>
      <c r="I98" s="177"/>
      <c r="J98" s="177"/>
      <c r="K98" s="177"/>
      <c r="L98" s="178"/>
      <c r="M98" s="2"/>
    </row>
    <row r="99" spans="1:16" s="3" customFormat="1" x14ac:dyDescent="0.25">
      <c r="A99" s="12"/>
      <c r="B99" s="711" t="s">
        <v>28</v>
      </c>
      <c r="C99" s="712"/>
      <c r="D99" s="712"/>
      <c r="E99" s="712"/>
      <c r="F99" s="712"/>
      <c r="G99" s="712"/>
      <c r="H99" s="712"/>
      <c r="I99" s="712"/>
      <c r="J99" s="712"/>
      <c r="K99" s="712"/>
      <c r="L99" s="713"/>
      <c r="M99" s="168"/>
    </row>
    <row r="100" spans="1:16" x14ac:dyDescent="0.25">
      <c r="B100" s="170"/>
      <c r="C100" s="171"/>
      <c r="D100" s="171"/>
      <c r="E100" s="171"/>
      <c r="F100" s="171"/>
      <c r="G100" s="171"/>
      <c r="H100" s="171"/>
      <c r="I100" s="171"/>
      <c r="J100" s="171"/>
      <c r="K100" s="171"/>
      <c r="L100" s="172"/>
      <c r="M100" s="2"/>
    </row>
    <row r="101" spans="1:16" x14ac:dyDescent="0.25">
      <c r="B101" s="634" t="str">
        <f>IF(Intro!$G$21="English",O101,P101)</f>
        <v>Describe your firm’s plans to manage inventory levels, in the next two years. Provide the rationale and assumptions underlying these strategies and objectives.</v>
      </c>
      <c r="C101" s="635"/>
      <c r="D101" s="635"/>
      <c r="E101" s="635"/>
      <c r="F101" s="635"/>
      <c r="G101" s="635"/>
      <c r="H101" s="635"/>
      <c r="I101" s="635"/>
      <c r="J101" s="635"/>
      <c r="K101" s="635"/>
      <c r="L101" s="636"/>
      <c r="M101" s="2"/>
      <c r="O101" s="2" t="s">
        <v>415</v>
      </c>
      <c r="P101" s="2" t="s">
        <v>198</v>
      </c>
    </row>
    <row r="102" spans="1:16" x14ac:dyDescent="0.25">
      <c r="B102" s="170"/>
      <c r="C102" s="171"/>
      <c r="D102" s="171"/>
      <c r="E102" s="171"/>
      <c r="F102" s="171"/>
      <c r="G102" s="171"/>
      <c r="H102" s="171"/>
      <c r="I102" s="171"/>
      <c r="J102" s="171"/>
      <c r="K102" s="171"/>
      <c r="L102" s="172"/>
      <c r="M102" s="2"/>
    </row>
    <row r="103" spans="1:16" s="3" customFormat="1" x14ac:dyDescent="0.25">
      <c r="A103" s="12"/>
      <c r="B103" s="705"/>
      <c r="C103" s="706"/>
      <c r="D103" s="706"/>
      <c r="E103" s="706"/>
      <c r="F103" s="706"/>
      <c r="G103" s="706"/>
      <c r="H103" s="706"/>
      <c r="I103" s="706"/>
      <c r="J103" s="706"/>
      <c r="K103" s="706"/>
      <c r="L103" s="707"/>
      <c r="M103" s="152"/>
      <c r="O103" s="154"/>
      <c r="P103" s="154"/>
    </row>
    <row r="104" spans="1:16" s="3" customFormat="1" x14ac:dyDescent="0.25">
      <c r="A104" s="12"/>
      <c r="B104" s="705"/>
      <c r="C104" s="706"/>
      <c r="D104" s="706"/>
      <c r="E104" s="706"/>
      <c r="F104" s="706"/>
      <c r="G104" s="706"/>
      <c r="H104" s="706"/>
      <c r="I104" s="706"/>
      <c r="J104" s="706"/>
      <c r="K104" s="706"/>
      <c r="L104" s="707"/>
      <c r="M104" s="152"/>
      <c r="O104" s="154"/>
      <c r="P104" s="154"/>
    </row>
    <row r="105" spans="1:16" s="3" customFormat="1" x14ac:dyDescent="0.25">
      <c r="A105" s="12"/>
      <c r="B105" s="705"/>
      <c r="C105" s="706"/>
      <c r="D105" s="706"/>
      <c r="E105" s="706"/>
      <c r="F105" s="706"/>
      <c r="G105" s="706"/>
      <c r="H105" s="706"/>
      <c r="I105" s="706"/>
      <c r="J105" s="706"/>
      <c r="K105" s="706"/>
      <c r="L105" s="707"/>
      <c r="M105" s="152"/>
      <c r="O105" s="154"/>
      <c r="P105" s="154"/>
    </row>
    <row r="106" spans="1:16" s="3" customFormat="1" x14ac:dyDescent="0.25">
      <c r="A106" s="12"/>
      <c r="B106" s="705"/>
      <c r="C106" s="706"/>
      <c r="D106" s="706"/>
      <c r="E106" s="706"/>
      <c r="F106" s="706"/>
      <c r="G106" s="706"/>
      <c r="H106" s="706"/>
      <c r="I106" s="706"/>
      <c r="J106" s="706"/>
      <c r="K106" s="706"/>
      <c r="L106" s="707"/>
      <c r="M106" s="152"/>
      <c r="O106" s="154"/>
      <c r="P106" s="154"/>
    </row>
    <row r="107" spans="1:16" s="3" customFormat="1" x14ac:dyDescent="0.25">
      <c r="A107" s="12"/>
      <c r="B107" s="705"/>
      <c r="C107" s="706"/>
      <c r="D107" s="706"/>
      <c r="E107" s="706"/>
      <c r="F107" s="706"/>
      <c r="G107" s="706"/>
      <c r="H107" s="706"/>
      <c r="I107" s="706"/>
      <c r="J107" s="706"/>
      <c r="K107" s="706"/>
      <c r="L107" s="707"/>
      <c r="M107" s="152"/>
      <c r="O107" s="154"/>
      <c r="P107" s="154"/>
    </row>
    <row r="108" spans="1:16" s="3" customFormat="1" x14ac:dyDescent="0.25">
      <c r="A108" s="12"/>
      <c r="B108" s="705"/>
      <c r="C108" s="706"/>
      <c r="D108" s="706"/>
      <c r="E108" s="706"/>
      <c r="F108" s="706"/>
      <c r="G108" s="706"/>
      <c r="H108" s="706"/>
      <c r="I108" s="706"/>
      <c r="J108" s="706"/>
      <c r="K108" s="706"/>
      <c r="L108" s="707"/>
      <c r="M108" s="152"/>
      <c r="O108" s="154"/>
      <c r="P108" s="154"/>
    </row>
    <row r="109" spans="1:16" s="3" customFormat="1" x14ac:dyDescent="0.25">
      <c r="A109" s="12"/>
      <c r="B109" s="705"/>
      <c r="C109" s="706"/>
      <c r="D109" s="706"/>
      <c r="E109" s="706"/>
      <c r="F109" s="706"/>
      <c r="G109" s="706"/>
      <c r="H109" s="706"/>
      <c r="I109" s="706"/>
      <c r="J109" s="706"/>
      <c r="K109" s="706"/>
      <c r="L109" s="707"/>
      <c r="M109" s="152"/>
      <c r="O109" s="154"/>
      <c r="P109" s="154"/>
    </row>
    <row r="110" spans="1:16" s="3" customFormat="1" x14ac:dyDescent="0.25">
      <c r="A110" s="12"/>
      <c r="B110" s="705"/>
      <c r="C110" s="706"/>
      <c r="D110" s="706"/>
      <c r="E110" s="706"/>
      <c r="F110" s="706"/>
      <c r="G110" s="706"/>
      <c r="H110" s="706"/>
      <c r="I110" s="706"/>
      <c r="J110" s="706"/>
      <c r="K110" s="706"/>
      <c r="L110" s="707"/>
      <c r="M110" s="152"/>
      <c r="O110" s="154"/>
      <c r="P110" s="154"/>
    </row>
    <row r="111" spans="1:16" x14ac:dyDescent="0.25">
      <c r="B111" s="176"/>
      <c r="C111" s="177"/>
      <c r="D111" s="177"/>
      <c r="E111" s="177"/>
      <c r="F111" s="177"/>
      <c r="G111" s="177"/>
      <c r="H111" s="177"/>
      <c r="I111" s="177"/>
      <c r="J111" s="177"/>
      <c r="K111" s="177"/>
      <c r="L111" s="178"/>
      <c r="M111" s="2"/>
    </row>
    <row r="112" spans="1:16" s="3" customFormat="1" x14ac:dyDescent="0.25">
      <c r="A112" s="12"/>
      <c r="B112" s="711" t="s">
        <v>30</v>
      </c>
      <c r="C112" s="712"/>
      <c r="D112" s="712"/>
      <c r="E112" s="712"/>
      <c r="F112" s="712"/>
      <c r="G112" s="712"/>
      <c r="H112" s="712"/>
      <c r="I112" s="712"/>
      <c r="J112" s="712"/>
      <c r="K112" s="712"/>
      <c r="L112" s="713"/>
      <c r="M112" s="168"/>
    </row>
    <row r="113" spans="1:19" x14ac:dyDescent="0.25">
      <c r="B113" s="170"/>
      <c r="C113" s="171"/>
      <c r="D113" s="171"/>
      <c r="E113" s="171"/>
      <c r="F113" s="171"/>
      <c r="G113" s="171"/>
      <c r="H113" s="171"/>
      <c r="I113" s="171"/>
      <c r="J113" s="171"/>
      <c r="K113" s="171"/>
      <c r="L113" s="172"/>
      <c r="M113" s="2"/>
    </row>
    <row r="114" spans="1:19" x14ac:dyDescent="0.25">
      <c r="B114" s="612" t="str">
        <f>IF(Intro!$G$21="English",O114,P114)</f>
        <v>Describe the method used to value your firm's sales to Canadian or foreign associated firms.</v>
      </c>
      <c r="C114" s="613"/>
      <c r="D114" s="613"/>
      <c r="E114" s="613"/>
      <c r="F114" s="613"/>
      <c r="G114" s="613"/>
      <c r="H114" s="613"/>
      <c r="I114" s="613"/>
      <c r="J114" s="613"/>
      <c r="K114" s="613"/>
      <c r="L114" s="614"/>
      <c r="M114" s="2"/>
      <c r="O114" s="2" t="s">
        <v>154</v>
      </c>
      <c r="P114" s="17" t="s">
        <v>155</v>
      </c>
    </row>
    <row r="115" spans="1:19" x14ac:dyDescent="0.25">
      <c r="B115" s="170"/>
      <c r="C115" s="171"/>
      <c r="D115" s="171"/>
      <c r="E115" s="171"/>
      <c r="F115" s="171"/>
      <c r="G115" s="171"/>
      <c r="H115" s="171"/>
      <c r="I115" s="171"/>
      <c r="J115" s="171"/>
      <c r="K115" s="171"/>
      <c r="L115" s="172"/>
      <c r="M115" s="2"/>
    </row>
    <row r="116" spans="1:19" s="3" customFormat="1" x14ac:dyDescent="0.25">
      <c r="A116" s="12"/>
      <c r="B116" s="705"/>
      <c r="C116" s="706"/>
      <c r="D116" s="706"/>
      <c r="E116" s="706"/>
      <c r="F116" s="706"/>
      <c r="G116" s="706"/>
      <c r="H116" s="706"/>
      <c r="I116" s="706"/>
      <c r="J116" s="706"/>
      <c r="K116" s="706"/>
      <c r="L116" s="707"/>
      <c r="M116" s="152"/>
      <c r="O116" s="154"/>
      <c r="P116" s="154"/>
    </row>
    <row r="117" spans="1:19" s="3" customFormat="1" x14ac:dyDescent="0.25">
      <c r="A117" s="12"/>
      <c r="B117" s="705"/>
      <c r="C117" s="706"/>
      <c r="D117" s="706"/>
      <c r="E117" s="706"/>
      <c r="F117" s="706"/>
      <c r="G117" s="706"/>
      <c r="H117" s="706"/>
      <c r="I117" s="706"/>
      <c r="J117" s="706"/>
      <c r="K117" s="706"/>
      <c r="L117" s="707"/>
      <c r="M117" s="152"/>
      <c r="O117" s="154"/>
      <c r="P117" s="154"/>
    </row>
    <row r="118" spans="1:19" s="3" customFormat="1" x14ac:dyDescent="0.25">
      <c r="A118" s="12"/>
      <c r="B118" s="705"/>
      <c r="C118" s="706"/>
      <c r="D118" s="706"/>
      <c r="E118" s="706"/>
      <c r="F118" s="706"/>
      <c r="G118" s="706"/>
      <c r="H118" s="706"/>
      <c r="I118" s="706"/>
      <c r="J118" s="706"/>
      <c r="K118" s="706"/>
      <c r="L118" s="707"/>
      <c r="M118" s="152"/>
      <c r="O118" s="154"/>
      <c r="P118" s="154"/>
    </row>
    <row r="119" spans="1:19" s="3" customFormat="1" x14ac:dyDescent="0.25">
      <c r="A119" s="12"/>
      <c r="B119" s="705"/>
      <c r="C119" s="706"/>
      <c r="D119" s="706"/>
      <c r="E119" s="706"/>
      <c r="F119" s="706"/>
      <c r="G119" s="706"/>
      <c r="H119" s="706"/>
      <c r="I119" s="706"/>
      <c r="J119" s="706"/>
      <c r="K119" s="706"/>
      <c r="L119" s="707"/>
      <c r="M119" s="152"/>
      <c r="O119" s="154"/>
      <c r="P119" s="154"/>
    </row>
    <row r="120" spans="1:19" s="3" customFormat="1" x14ac:dyDescent="0.25">
      <c r="A120" s="12"/>
      <c r="B120" s="705"/>
      <c r="C120" s="706"/>
      <c r="D120" s="706"/>
      <c r="E120" s="706"/>
      <c r="F120" s="706"/>
      <c r="G120" s="706"/>
      <c r="H120" s="706"/>
      <c r="I120" s="706"/>
      <c r="J120" s="706"/>
      <c r="K120" s="706"/>
      <c r="L120" s="707"/>
      <c r="M120" s="152"/>
      <c r="O120" s="154"/>
      <c r="P120" s="154"/>
    </row>
    <row r="121" spans="1:19" s="3" customFormat="1" x14ac:dyDescent="0.25">
      <c r="A121" s="12"/>
      <c r="B121" s="705"/>
      <c r="C121" s="706"/>
      <c r="D121" s="706"/>
      <c r="E121" s="706"/>
      <c r="F121" s="706"/>
      <c r="G121" s="706"/>
      <c r="H121" s="706"/>
      <c r="I121" s="706"/>
      <c r="J121" s="706"/>
      <c r="K121" s="706"/>
      <c r="L121" s="707"/>
      <c r="M121" s="152"/>
      <c r="O121" s="154"/>
      <c r="P121" s="154"/>
    </row>
    <row r="122" spans="1:19" s="3" customFormat="1" x14ac:dyDescent="0.25">
      <c r="A122" s="12"/>
      <c r="B122" s="705"/>
      <c r="C122" s="706"/>
      <c r="D122" s="706"/>
      <c r="E122" s="706"/>
      <c r="F122" s="706"/>
      <c r="G122" s="706"/>
      <c r="H122" s="706"/>
      <c r="I122" s="706"/>
      <c r="J122" s="706"/>
      <c r="K122" s="706"/>
      <c r="L122" s="707"/>
      <c r="M122" s="152"/>
      <c r="O122" s="154"/>
      <c r="P122" s="154"/>
    </row>
    <row r="123" spans="1:19" s="3" customFormat="1" x14ac:dyDescent="0.25">
      <c r="A123" s="12"/>
      <c r="B123" s="705"/>
      <c r="C123" s="706"/>
      <c r="D123" s="706"/>
      <c r="E123" s="706"/>
      <c r="F123" s="706"/>
      <c r="G123" s="706"/>
      <c r="H123" s="706"/>
      <c r="I123" s="706"/>
      <c r="J123" s="706"/>
      <c r="K123" s="706"/>
      <c r="L123" s="707"/>
      <c r="M123" s="152"/>
      <c r="O123" s="154"/>
      <c r="P123" s="154"/>
    </row>
    <row r="124" spans="1:19" x14ac:dyDescent="0.25">
      <c r="B124" s="176"/>
      <c r="C124" s="177"/>
      <c r="D124" s="177"/>
      <c r="E124" s="177"/>
      <c r="F124" s="177"/>
      <c r="G124" s="177"/>
      <c r="H124" s="177"/>
      <c r="I124" s="177"/>
      <c r="J124" s="177"/>
      <c r="K124" s="177"/>
      <c r="L124" s="178"/>
      <c r="M124" s="2"/>
    </row>
    <row r="125" spans="1:19" s="3" customFormat="1" x14ac:dyDescent="0.25">
      <c r="A125" s="12"/>
      <c r="B125" s="711" t="s">
        <v>31</v>
      </c>
      <c r="C125" s="712"/>
      <c r="D125" s="712"/>
      <c r="E125" s="712"/>
      <c r="F125" s="712"/>
      <c r="G125" s="712"/>
      <c r="H125" s="712"/>
      <c r="I125" s="712"/>
      <c r="J125" s="712"/>
      <c r="K125" s="712"/>
      <c r="L125" s="713"/>
      <c r="M125" s="168"/>
    </row>
    <row r="126" spans="1:19" x14ac:dyDescent="0.25">
      <c r="B126" s="170"/>
      <c r="C126" s="171"/>
      <c r="D126" s="171"/>
      <c r="E126" s="171"/>
      <c r="F126" s="171"/>
      <c r="G126" s="171"/>
      <c r="H126" s="171"/>
      <c r="I126" s="171"/>
      <c r="J126" s="171"/>
      <c r="K126" s="171"/>
      <c r="L126" s="172"/>
      <c r="M126" s="2"/>
    </row>
    <row r="127" spans="1:19" x14ac:dyDescent="0.25">
      <c r="B127" s="612" t="str">
        <f>IF(Intro!$G$21="English",O127,P127)</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have changed since January 1, 2023.</v>
      </c>
      <c r="C127" s="613"/>
      <c r="D127" s="613"/>
      <c r="E127" s="613"/>
      <c r="F127" s="613"/>
      <c r="G127" s="613"/>
      <c r="H127" s="613"/>
      <c r="I127" s="613"/>
      <c r="J127" s="613"/>
      <c r="K127" s="613"/>
      <c r="L127" s="614"/>
      <c r="M127" s="2"/>
      <c r="O127" s="2" t="str">
        <f>"Explain your firm’s method of calculating the prices of the goods to your customers. Include details related to any terms, discounts, allowances, rebates and incentives, price adjustments or other considerations offered to purchasers since January 1, "&amp;Variables!B6&amp;". If your firm uses price or discount lists, provide copies. Explain whether these pricing practices to your customers have changed since January 1, "&amp;Variables!B6&amp;"."</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have changed since January 1, 2023.</v>
      </c>
      <c r="P127" s="2" t="str">
        <f>"Expliquez la façon dont votre entreprise calcule les prix des marchandises pour ses clients. Donnez les détails au sujet des modalités, rabais, réductions, remises, primes, ajustements de prix et autres mesures offerts aux acheteurs depuis le 1er janvier "&amp;Variables!B6&amp;". Si votre entreprise utilise des listes de prix ou de remises, fournissez-en des copies. Expliquez comment ces pratiques de fixation des prix ont changé depuis le 1er janvier "&amp;Variables!B6&amp;"."</f>
        <v>Expliquez la façon dont votre entreprise calcule les prix des marchandises pour ses clients. Donnez les détails au sujet des modalités, rabais, réductions, remises, primes, ajustements de prix et autres mesures offerts aux acheteurs depuis le 1er janvier 2023. Si votre entreprise utilise des listes de prix ou de remises, fournissez-en des copies. Expliquez comment ces pratiques de fixation des prix ont changé depuis le 1er janvier 2023.</v>
      </c>
      <c r="Q127" s="152"/>
      <c r="R127" s="152"/>
      <c r="S127" s="152"/>
    </row>
    <row r="128" spans="1:19" x14ac:dyDescent="0.25">
      <c r="B128" s="612"/>
      <c r="C128" s="613"/>
      <c r="D128" s="613"/>
      <c r="E128" s="613"/>
      <c r="F128" s="613"/>
      <c r="G128" s="613"/>
      <c r="H128" s="613"/>
      <c r="I128" s="613"/>
      <c r="J128" s="613"/>
      <c r="K128" s="613"/>
      <c r="L128" s="614"/>
      <c r="M128" s="2"/>
      <c r="Q128" s="152"/>
      <c r="R128" s="152"/>
      <c r="S128" s="152"/>
    </row>
    <row r="129" spans="1:19" x14ac:dyDescent="0.25">
      <c r="B129" s="612"/>
      <c r="C129" s="613"/>
      <c r="D129" s="613"/>
      <c r="E129" s="613"/>
      <c r="F129" s="613"/>
      <c r="G129" s="613"/>
      <c r="H129" s="613"/>
      <c r="I129" s="613"/>
      <c r="J129" s="613"/>
      <c r="K129" s="613"/>
      <c r="L129" s="614"/>
      <c r="M129" s="2"/>
      <c r="Q129" s="152"/>
      <c r="R129" s="152"/>
      <c r="S129" s="152"/>
    </row>
    <row r="130" spans="1:19" x14ac:dyDescent="0.25">
      <c r="B130" s="170"/>
      <c r="C130" s="171"/>
      <c r="D130" s="171"/>
      <c r="E130" s="171"/>
      <c r="F130" s="171"/>
      <c r="G130" s="171"/>
      <c r="H130" s="171"/>
      <c r="I130" s="171"/>
      <c r="J130" s="171"/>
      <c r="K130" s="171"/>
      <c r="L130" s="172"/>
      <c r="M130" s="2"/>
    </row>
    <row r="131" spans="1:19" s="3" customFormat="1" x14ac:dyDescent="0.25">
      <c r="A131" s="12"/>
      <c r="B131" s="705"/>
      <c r="C131" s="706"/>
      <c r="D131" s="706"/>
      <c r="E131" s="706"/>
      <c r="F131" s="706"/>
      <c r="G131" s="706"/>
      <c r="H131" s="706"/>
      <c r="I131" s="706"/>
      <c r="J131" s="706"/>
      <c r="K131" s="706"/>
      <c r="L131" s="707"/>
      <c r="M131" s="152"/>
      <c r="O131" s="154"/>
      <c r="P131" s="154"/>
    </row>
    <row r="132" spans="1:19" s="3" customFormat="1" x14ac:dyDescent="0.25">
      <c r="A132" s="12"/>
      <c r="B132" s="705"/>
      <c r="C132" s="706"/>
      <c r="D132" s="706"/>
      <c r="E132" s="706"/>
      <c r="F132" s="706"/>
      <c r="G132" s="706"/>
      <c r="H132" s="706"/>
      <c r="I132" s="706"/>
      <c r="J132" s="706"/>
      <c r="K132" s="706"/>
      <c r="L132" s="707"/>
      <c r="M132" s="152"/>
      <c r="O132" s="154"/>
      <c r="P132" s="154"/>
    </row>
    <row r="133" spans="1:19" s="3" customFormat="1" x14ac:dyDescent="0.25">
      <c r="A133" s="12"/>
      <c r="B133" s="705"/>
      <c r="C133" s="706"/>
      <c r="D133" s="706"/>
      <c r="E133" s="706"/>
      <c r="F133" s="706"/>
      <c r="G133" s="706"/>
      <c r="H133" s="706"/>
      <c r="I133" s="706"/>
      <c r="J133" s="706"/>
      <c r="K133" s="706"/>
      <c r="L133" s="707"/>
      <c r="M133" s="152"/>
      <c r="O133" s="154"/>
      <c r="P133" s="154"/>
    </row>
    <row r="134" spans="1:19" s="3" customFormat="1" x14ac:dyDescent="0.25">
      <c r="A134" s="12"/>
      <c r="B134" s="705"/>
      <c r="C134" s="706"/>
      <c r="D134" s="706"/>
      <c r="E134" s="706"/>
      <c r="F134" s="706"/>
      <c r="G134" s="706"/>
      <c r="H134" s="706"/>
      <c r="I134" s="706"/>
      <c r="J134" s="706"/>
      <c r="K134" s="706"/>
      <c r="L134" s="707"/>
      <c r="M134" s="152"/>
      <c r="O134" s="154"/>
      <c r="P134" s="154"/>
    </row>
    <row r="135" spans="1:19" s="3" customFormat="1" x14ac:dyDescent="0.25">
      <c r="A135" s="12"/>
      <c r="B135" s="705"/>
      <c r="C135" s="706"/>
      <c r="D135" s="706"/>
      <c r="E135" s="706"/>
      <c r="F135" s="706"/>
      <c r="G135" s="706"/>
      <c r="H135" s="706"/>
      <c r="I135" s="706"/>
      <c r="J135" s="706"/>
      <c r="K135" s="706"/>
      <c r="L135" s="707"/>
      <c r="M135" s="152"/>
      <c r="O135" s="154"/>
      <c r="P135" s="154"/>
    </row>
    <row r="136" spans="1:19" s="3" customFormat="1" x14ac:dyDescent="0.25">
      <c r="A136" s="12"/>
      <c r="B136" s="705"/>
      <c r="C136" s="706"/>
      <c r="D136" s="706"/>
      <c r="E136" s="706"/>
      <c r="F136" s="706"/>
      <c r="G136" s="706"/>
      <c r="H136" s="706"/>
      <c r="I136" s="706"/>
      <c r="J136" s="706"/>
      <c r="K136" s="706"/>
      <c r="L136" s="707"/>
      <c r="M136" s="152"/>
      <c r="O136" s="154"/>
      <c r="P136" s="154"/>
    </row>
    <row r="137" spans="1:19" s="3" customFormat="1" x14ac:dyDescent="0.25">
      <c r="A137" s="12"/>
      <c r="B137" s="705"/>
      <c r="C137" s="706"/>
      <c r="D137" s="706"/>
      <c r="E137" s="706"/>
      <c r="F137" s="706"/>
      <c r="G137" s="706"/>
      <c r="H137" s="706"/>
      <c r="I137" s="706"/>
      <c r="J137" s="706"/>
      <c r="K137" s="706"/>
      <c r="L137" s="707"/>
      <c r="M137" s="152"/>
      <c r="O137" s="154"/>
      <c r="P137" s="154"/>
    </row>
    <row r="138" spans="1:19" s="3" customFormat="1" x14ac:dyDescent="0.25">
      <c r="A138" s="12"/>
      <c r="B138" s="705"/>
      <c r="C138" s="706"/>
      <c r="D138" s="706"/>
      <c r="E138" s="706"/>
      <c r="F138" s="706"/>
      <c r="G138" s="706"/>
      <c r="H138" s="706"/>
      <c r="I138" s="706"/>
      <c r="J138" s="706"/>
      <c r="K138" s="706"/>
      <c r="L138" s="707"/>
      <c r="M138" s="152"/>
      <c r="O138" s="154"/>
      <c r="P138" s="154"/>
    </row>
    <row r="139" spans="1:19" x14ac:dyDescent="0.25">
      <c r="B139" s="176"/>
      <c r="C139" s="177"/>
      <c r="D139" s="177"/>
      <c r="E139" s="177"/>
      <c r="F139" s="177"/>
      <c r="G139" s="177"/>
      <c r="H139" s="177"/>
      <c r="I139" s="177"/>
      <c r="J139" s="177"/>
      <c r="K139" s="177"/>
      <c r="L139" s="178"/>
      <c r="M139" s="2"/>
    </row>
    <row r="140" spans="1:19" s="3" customFormat="1" x14ac:dyDescent="0.25">
      <c r="A140" s="12"/>
      <c r="B140" s="711" t="s">
        <v>33</v>
      </c>
      <c r="C140" s="712"/>
      <c r="D140" s="712"/>
      <c r="E140" s="712"/>
      <c r="F140" s="712"/>
      <c r="G140" s="712"/>
      <c r="H140" s="712"/>
      <c r="I140" s="712"/>
      <c r="J140" s="712"/>
      <c r="K140" s="712"/>
      <c r="L140" s="713"/>
      <c r="M140" s="168"/>
    </row>
    <row r="141" spans="1:19" x14ac:dyDescent="0.25">
      <c r="B141" s="170"/>
      <c r="C141" s="171"/>
      <c r="D141" s="171"/>
      <c r="E141" s="171"/>
      <c r="F141" s="171"/>
      <c r="G141" s="171"/>
      <c r="H141" s="171"/>
      <c r="I141" s="171"/>
      <c r="J141" s="171"/>
      <c r="K141" s="171"/>
      <c r="L141" s="172"/>
      <c r="M141" s="2"/>
      <c r="P141" s="1"/>
    </row>
    <row r="142" spans="1:19" x14ac:dyDescent="0.25">
      <c r="B142" s="708" t="str">
        <f>IF(Intro!$G$21="English",O142,P142)</f>
        <v>From your total net delivered sales in Canada (reported in Question 1), what percentage was delivery costs?</v>
      </c>
      <c r="C142" s="709"/>
      <c r="D142" s="709"/>
      <c r="E142" s="709"/>
      <c r="F142" s="709"/>
      <c r="G142" s="709"/>
      <c r="H142" s="709"/>
      <c r="I142" s="709"/>
      <c r="J142" s="709"/>
      <c r="K142" s="709"/>
      <c r="L142" s="710"/>
      <c r="M142" s="2"/>
      <c r="O142" s="2" t="s">
        <v>800</v>
      </c>
      <c r="P142" s="1" t="s">
        <v>801</v>
      </c>
    </row>
    <row r="143" spans="1:19" x14ac:dyDescent="0.25">
      <c r="B143" s="170"/>
      <c r="C143" s="171"/>
      <c r="D143" s="171"/>
      <c r="E143" s="171"/>
      <c r="F143" s="171"/>
      <c r="G143" s="171"/>
      <c r="H143" s="171"/>
      <c r="I143" s="171"/>
      <c r="J143" s="171"/>
      <c r="K143" s="171"/>
      <c r="L143" s="172"/>
      <c r="M143" s="2"/>
    </row>
    <row r="144" spans="1:19" x14ac:dyDescent="0.25">
      <c r="B144" s="274"/>
      <c r="C144" s="2"/>
      <c r="D144" s="160"/>
      <c r="E144" s="160"/>
      <c r="F144" s="148"/>
      <c r="G144" s="826">
        <f>Variables!$B$6</f>
        <v>2023</v>
      </c>
      <c r="H144" s="826">
        <f>G144+1</f>
        <v>2024</v>
      </c>
      <c r="I144" s="826">
        <f>H144+1</f>
        <v>2025</v>
      </c>
      <c r="J144" s="826" t="str">
        <f>J51</f>
        <v>Jan-Mar 2025</v>
      </c>
      <c r="K144" s="826" t="str">
        <f>K51</f>
        <v>Jan-Mar 2026</v>
      </c>
      <c r="L144" s="179"/>
      <c r="M144" s="2"/>
      <c r="O144" s="11"/>
    </row>
    <row r="145" spans="1:16" x14ac:dyDescent="0.25">
      <c r="B145" s="274"/>
      <c r="C145" s="2"/>
      <c r="D145" s="160"/>
      <c r="E145" s="160"/>
      <c r="F145" s="148"/>
      <c r="G145" s="827"/>
      <c r="H145" s="827"/>
      <c r="I145" s="827"/>
      <c r="J145" s="827"/>
      <c r="K145" s="827"/>
      <c r="L145" s="179"/>
      <c r="M145" s="2"/>
      <c r="O145" s="11"/>
    </row>
    <row r="146" spans="1:16" x14ac:dyDescent="0.25">
      <c r="B146" s="274"/>
      <c r="C146" s="2"/>
      <c r="D146" s="727" t="str">
        <f>IF(Intro!$G$21="English",O146,P146)</f>
        <v>Delivery Cost</v>
      </c>
      <c r="E146" s="727"/>
      <c r="F146" s="214" t="s">
        <v>188</v>
      </c>
      <c r="G146" s="267"/>
      <c r="H146" s="267"/>
      <c r="I146" s="267"/>
      <c r="J146" s="267"/>
      <c r="K146" s="267"/>
      <c r="L146" s="179"/>
      <c r="M146" s="2"/>
      <c r="O146" s="2" t="s">
        <v>196</v>
      </c>
      <c r="P146" s="2" t="s">
        <v>197</v>
      </c>
    </row>
    <row r="147" spans="1:16" x14ac:dyDescent="0.25">
      <c r="B147" s="170"/>
      <c r="C147" s="171"/>
      <c r="D147" s="171"/>
      <c r="E147" s="171"/>
      <c r="F147" s="171"/>
      <c r="G147" s="171"/>
      <c r="H147" s="171"/>
      <c r="I147" s="171"/>
      <c r="J147" s="171"/>
      <c r="K147" s="171"/>
      <c r="L147" s="172"/>
      <c r="M147" s="2"/>
    </row>
    <row r="148" spans="1:16" x14ac:dyDescent="0.25">
      <c r="B148" s="708" t="str">
        <f>IF(Intro!$G$21="English",O148,P148)</f>
        <v>Explain why the proportion of your domestic sales value represented by delivery costs has changed since January 1, 2023.</v>
      </c>
      <c r="C148" s="709"/>
      <c r="D148" s="709"/>
      <c r="E148" s="709"/>
      <c r="F148" s="709"/>
      <c r="G148" s="709"/>
      <c r="H148" s="709"/>
      <c r="I148" s="709"/>
      <c r="J148" s="709"/>
      <c r="K148" s="709"/>
      <c r="L148" s="710"/>
      <c r="M148" s="2"/>
      <c r="O148" s="2" t="str">
        <f>"Explain why the proportion of your domestic sales value represented by delivery costs has changed since January 1, "&amp;Variables!B6&amp;"."</f>
        <v>Explain why the proportion of your domestic sales value represented by delivery costs has changed since January 1, 2023.</v>
      </c>
      <c r="P148" s="2" t="str">
        <f>"Expliquez pourquoi la proportion de la valeur de vos ventes intérieures représentée par les frais de livraison a changé depuis le 1er janvier "&amp;Variables!B6&amp;"."</f>
        <v>Expliquez pourquoi la proportion de la valeur de vos ventes intérieures représentée par les frais de livraison a changé depuis le 1er janvier 2023.</v>
      </c>
    </row>
    <row r="149" spans="1:16" x14ac:dyDescent="0.25">
      <c r="B149" s="170"/>
      <c r="C149" s="171"/>
      <c r="D149" s="171"/>
      <c r="E149" s="171"/>
      <c r="F149" s="171"/>
      <c r="G149" s="171"/>
      <c r="H149" s="171"/>
      <c r="I149" s="171"/>
      <c r="J149" s="171"/>
      <c r="K149" s="171"/>
      <c r="L149" s="172"/>
      <c r="M149" s="2"/>
    </row>
    <row r="150" spans="1:16" s="3" customFormat="1" x14ac:dyDescent="0.25">
      <c r="A150" s="12"/>
      <c r="B150" s="705"/>
      <c r="C150" s="706"/>
      <c r="D150" s="706"/>
      <c r="E150" s="706"/>
      <c r="F150" s="706"/>
      <c r="G150" s="706"/>
      <c r="H150" s="706"/>
      <c r="I150" s="706"/>
      <c r="J150" s="706"/>
      <c r="K150" s="706"/>
      <c r="L150" s="707"/>
      <c r="M150" s="152"/>
      <c r="O150" s="154"/>
      <c r="P150" s="154"/>
    </row>
    <row r="151" spans="1:16" s="3" customFormat="1" x14ac:dyDescent="0.25">
      <c r="A151" s="12"/>
      <c r="B151" s="705"/>
      <c r="C151" s="706"/>
      <c r="D151" s="706"/>
      <c r="E151" s="706"/>
      <c r="F151" s="706"/>
      <c r="G151" s="706"/>
      <c r="H151" s="706"/>
      <c r="I151" s="706"/>
      <c r="J151" s="706"/>
      <c r="K151" s="706"/>
      <c r="L151" s="707"/>
      <c r="M151" s="152"/>
      <c r="O151" s="154"/>
      <c r="P151" s="154"/>
    </row>
    <row r="152" spans="1:16" s="3" customFormat="1" x14ac:dyDescent="0.25">
      <c r="A152" s="12"/>
      <c r="B152" s="705"/>
      <c r="C152" s="706"/>
      <c r="D152" s="706"/>
      <c r="E152" s="706"/>
      <c r="F152" s="706"/>
      <c r="G152" s="706"/>
      <c r="H152" s="706"/>
      <c r="I152" s="706"/>
      <c r="J152" s="706"/>
      <c r="K152" s="706"/>
      <c r="L152" s="707"/>
      <c r="M152" s="152"/>
      <c r="O152" s="154"/>
      <c r="P152" s="154"/>
    </row>
    <row r="153" spans="1:16" s="3" customFormat="1" x14ac:dyDescent="0.25">
      <c r="A153" s="12"/>
      <c r="B153" s="705"/>
      <c r="C153" s="706"/>
      <c r="D153" s="706"/>
      <c r="E153" s="706"/>
      <c r="F153" s="706"/>
      <c r="G153" s="706"/>
      <c r="H153" s="706"/>
      <c r="I153" s="706"/>
      <c r="J153" s="706"/>
      <c r="K153" s="706"/>
      <c r="L153" s="707"/>
      <c r="M153" s="152"/>
      <c r="O153" s="154"/>
      <c r="P153" s="154"/>
    </row>
    <row r="154" spans="1:16" s="3" customFormat="1" x14ac:dyDescent="0.25">
      <c r="A154" s="12"/>
      <c r="B154" s="705"/>
      <c r="C154" s="706"/>
      <c r="D154" s="706"/>
      <c r="E154" s="706"/>
      <c r="F154" s="706"/>
      <c r="G154" s="706"/>
      <c r="H154" s="706"/>
      <c r="I154" s="706"/>
      <c r="J154" s="706"/>
      <c r="K154" s="706"/>
      <c r="L154" s="707"/>
      <c r="M154" s="152"/>
      <c r="O154" s="154"/>
      <c r="P154" s="154"/>
    </row>
    <row r="155" spans="1:16" s="3" customFormat="1" x14ac:dyDescent="0.25">
      <c r="A155" s="12"/>
      <c r="B155" s="705"/>
      <c r="C155" s="706"/>
      <c r="D155" s="706"/>
      <c r="E155" s="706"/>
      <c r="F155" s="706"/>
      <c r="G155" s="706"/>
      <c r="H155" s="706"/>
      <c r="I155" s="706"/>
      <c r="J155" s="706"/>
      <c r="K155" s="706"/>
      <c r="L155" s="707"/>
      <c r="M155" s="152"/>
      <c r="O155" s="154"/>
      <c r="P155" s="154"/>
    </row>
    <row r="156" spans="1:16" s="3" customFormat="1" x14ac:dyDescent="0.25">
      <c r="A156" s="12"/>
      <c r="B156" s="705"/>
      <c r="C156" s="706"/>
      <c r="D156" s="706"/>
      <c r="E156" s="706"/>
      <c r="F156" s="706"/>
      <c r="G156" s="706"/>
      <c r="H156" s="706"/>
      <c r="I156" s="706"/>
      <c r="J156" s="706"/>
      <c r="K156" s="706"/>
      <c r="L156" s="707"/>
      <c r="M156" s="152"/>
      <c r="O156" s="154"/>
      <c r="P156" s="154"/>
    </row>
    <row r="157" spans="1:16" s="3" customFormat="1" x14ac:dyDescent="0.25">
      <c r="A157" s="12"/>
      <c r="B157" s="705"/>
      <c r="C157" s="706"/>
      <c r="D157" s="706"/>
      <c r="E157" s="706"/>
      <c r="F157" s="706"/>
      <c r="G157" s="706"/>
      <c r="H157" s="706"/>
      <c r="I157" s="706"/>
      <c r="J157" s="706"/>
      <c r="K157" s="706"/>
      <c r="L157" s="707"/>
      <c r="M157" s="152"/>
      <c r="O157" s="154"/>
      <c r="P157" s="154"/>
    </row>
    <row r="158" spans="1:16" x14ac:dyDescent="0.25">
      <c r="B158" s="176"/>
      <c r="C158" s="177"/>
      <c r="D158" s="177"/>
      <c r="E158" s="177"/>
      <c r="F158" s="177"/>
      <c r="G158" s="177"/>
      <c r="H158" s="177"/>
      <c r="I158" s="177"/>
      <c r="J158" s="177"/>
      <c r="K158" s="177"/>
      <c r="L158" s="178"/>
      <c r="M158" s="2"/>
    </row>
    <row r="159" spans="1:16" s="3" customFormat="1" x14ac:dyDescent="0.25">
      <c r="A159" s="12"/>
      <c r="B159" s="711" t="s">
        <v>34</v>
      </c>
      <c r="C159" s="712"/>
      <c r="D159" s="712"/>
      <c r="E159" s="712"/>
      <c r="F159" s="712"/>
      <c r="G159" s="712"/>
      <c r="H159" s="712"/>
      <c r="I159" s="712"/>
      <c r="J159" s="712"/>
      <c r="K159" s="712"/>
      <c r="L159" s="713"/>
      <c r="M159" s="168"/>
    </row>
    <row r="160" spans="1:16" x14ac:dyDescent="0.25">
      <c r="B160" s="170"/>
      <c r="C160" s="171"/>
      <c r="D160" s="171"/>
      <c r="E160" s="171"/>
      <c r="F160" s="171"/>
      <c r="G160" s="171"/>
      <c r="H160" s="171"/>
      <c r="I160" s="171"/>
      <c r="J160" s="171"/>
      <c r="K160" s="171"/>
      <c r="L160" s="172"/>
      <c r="M160" s="2"/>
    </row>
    <row r="161" spans="1:16" x14ac:dyDescent="0.25">
      <c r="B161" s="612" t="str">
        <f>IF(Intro!$G$21="English",O161,P161)</f>
        <v>Provide your firm’s strategies and objectives for the next two years with respect to the domestic sales of domestic production of the goods. Provide the rationale and assumptions underlying these strategies and objectives.</v>
      </c>
      <c r="C161" s="613"/>
      <c r="D161" s="613"/>
      <c r="E161" s="613"/>
      <c r="F161" s="613"/>
      <c r="G161" s="613"/>
      <c r="H161" s="613"/>
      <c r="I161" s="613"/>
      <c r="J161" s="613"/>
      <c r="K161" s="613"/>
      <c r="L161" s="614"/>
      <c r="M161" s="2"/>
      <c r="O161" s="2" t="s">
        <v>199</v>
      </c>
      <c r="P161" s="2" t="s">
        <v>200</v>
      </c>
    </row>
    <row r="162" spans="1:16" x14ac:dyDescent="0.25">
      <c r="B162" s="612"/>
      <c r="C162" s="613"/>
      <c r="D162" s="613"/>
      <c r="E162" s="613"/>
      <c r="F162" s="613"/>
      <c r="G162" s="613"/>
      <c r="H162" s="613"/>
      <c r="I162" s="613"/>
      <c r="J162" s="613"/>
      <c r="K162" s="613"/>
      <c r="L162" s="614"/>
      <c r="M162" s="2"/>
    </row>
    <row r="163" spans="1:16" x14ac:dyDescent="0.25">
      <c r="B163" s="170"/>
      <c r="C163" s="171"/>
      <c r="D163" s="171"/>
      <c r="E163" s="171"/>
      <c r="F163" s="171"/>
      <c r="G163" s="171"/>
      <c r="H163" s="171"/>
      <c r="I163" s="171"/>
      <c r="J163" s="171"/>
      <c r="K163" s="171"/>
      <c r="L163" s="172"/>
      <c r="M163" s="2"/>
    </row>
    <row r="164" spans="1:16" s="3" customFormat="1" x14ac:dyDescent="0.25">
      <c r="A164" s="12"/>
      <c r="B164" s="705"/>
      <c r="C164" s="706"/>
      <c r="D164" s="706"/>
      <c r="E164" s="706"/>
      <c r="F164" s="706"/>
      <c r="G164" s="706"/>
      <c r="H164" s="706"/>
      <c r="I164" s="706"/>
      <c r="J164" s="706"/>
      <c r="K164" s="706"/>
      <c r="L164" s="707"/>
      <c r="M164" s="152"/>
      <c r="O164" s="154"/>
      <c r="P164" s="154"/>
    </row>
    <row r="165" spans="1:16" s="3" customFormat="1" x14ac:dyDescent="0.25">
      <c r="A165" s="12"/>
      <c r="B165" s="705"/>
      <c r="C165" s="706"/>
      <c r="D165" s="706"/>
      <c r="E165" s="706"/>
      <c r="F165" s="706"/>
      <c r="G165" s="706"/>
      <c r="H165" s="706"/>
      <c r="I165" s="706"/>
      <c r="J165" s="706"/>
      <c r="K165" s="706"/>
      <c r="L165" s="707"/>
      <c r="M165" s="152"/>
      <c r="O165" s="154"/>
      <c r="P165" s="154"/>
    </row>
    <row r="166" spans="1:16" s="3" customFormat="1" x14ac:dyDescent="0.25">
      <c r="A166" s="12"/>
      <c r="B166" s="705"/>
      <c r="C166" s="706"/>
      <c r="D166" s="706"/>
      <c r="E166" s="706"/>
      <c r="F166" s="706"/>
      <c r="G166" s="706"/>
      <c r="H166" s="706"/>
      <c r="I166" s="706"/>
      <c r="J166" s="706"/>
      <c r="K166" s="706"/>
      <c r="L166" s="707"/>
      <c r="M166" s="152"/>
      <c r="O166" s="154"/>
      <c r="P166" s="154"/>
    </row>
    <row r="167" spans="1:16" s="3" customFormat="1" x14ac:dyDescent="0.25">
      <c r="A167" s="12"/>
      <c r="B167" s="705"/>
      <c r="C167" s="706"/>
      <c r="D167" s="706"/>
      <c r="E167" s="706"/>
      <c r="F167" s="706"/>
      <c r="G167" s="706"/>
      <c r="H167" s="706"/>
      <c r="I167" s="706"/>
      <c r="J167" s="706"/>
      <c r="K167" s="706"/>
      <c r="L167" s="707"/>
      <c r="M167" s="152"/>
      <c r="O167" s="154"/>
      <c r="P167" s="154"/>
    </row>
    <row r="168" spans="1:16" s="3" customFormat="1" x14ac:dyDescent="0.25">
      <c r="A168" s="12"/>
      <c r="B168" s="705"/>
      <c r="C168" s="706"/>
      <c r="D168" s="706"/>
      <c r="E168" s="706"/>
      <c r="F168" s="706"/>
      <c r="G168" s="706"/>
      <c r="H168" s="706"/>
      <c r="I168" s="706"/>
      <c r="J168" s="706"/>
      <c r="K168" s="706"/>
      <c r="L168" s="707"/>
      <c r="M168" s="152"/>
      <c r="O168" s="154"/>
      <c r="P168" s="154"/>
    </row>
    <row r="169" spans="1:16" s="3" customFormat="1" x14ac:dyDescent="0.25">
      <c r="A169" s="12"/>
      <c r="B169" s="705"/>
      <c r="C169" s="706"/>
      <c r="D169" s="706"/>
      <c r="E169" s="706"/>
      <c r="F169" s="706"/>
      <c r="G169" s="706"/>
      <c r="H169" s="706"/>
      <c r="I169" s="706"/>
      <c r="J169" s="706"/>
      <c r="K169" s="706"/>
      <c r="L169" s="707"/>
      <c r="M169" s="152"/>
      <c r="O169" s="154"/>
      <c r="P169" s="154"/>
    </row>
    <row r="170" spans="1:16" s="3" customFormat="1" x14ac:dyDescent="0.25">
      <c r="A170" s="12"/>
      <c r="B170" s="705"/>
      <c r="C170" s="706"/>
      <c r="D170" s="706"/>
      <c r="E170" s="706"/>
      <c r="F170" s="706"/>
      <c r="G170" s="706"/>
      <c r="H170" s="706"/>
      <c r="I170" s="706"/>
      <c r="J170" s="706"/>
      <c r="K170" s="706"/>
      <c r="L170" s="707"/>
      <c r="M170" s="152"/>
      <c r="O170" s="154"/>
      <c r="P170" s="154"/>
    </row>
    <row r="171" spans="1:16" s="3" customFormat="1" x14ac:dyDescent="0.25">
      <c r="A171" s="12"/>
      <c r="B171" s="705"/>
      <c r="C171" s="706"/>
      <c r="D171" s="706"/>
      <c r="E171" s="706"/>
      <c r="F171" s="706"/>
      <c r="G171" s="706"/>
      <c r="H171" s="706"/>
      <c r="I171" s="706"/>
      <c r="J171" s="706"/>
      <c r="K171" s="706"/>
      <c r="L171" s="707"/>
      <c r="M171" s="152"/>
      <c r="O171" s="154"/>
      <c r="P171" s="154"/>
    </row>
    <row r="172" spans="1:16" x14ac:dyDescent="0.25">
      <c r="B172" s="176"/>
      <c r="C172" s="177"/>
      <c r="D172" s="177"/>
      <c r="E172" s="177"/>
      <c r="F172" s="177"/>
      <c r="G172" s="177"/>
      <c r="H172" s="177"/>
      <c r="I172" s="177"/>
      <c r="J172" s="177"/>
      <c r="K172" s="177"/>
      <c r="L172" s="178"/>
      <c r="M172" s="2"/>
    </row>
    <row r="173" spans="1:16" s="3" customFormat="1" x14ac:dyDescent="0.25">
      <c r="A173" s="12"/>
      <c r="B173" s="711" t="s">
        <v>35</v>
      </c>
      <c r="C173" s="712"/>
      <c r="D173" s="712"/>
      <c r="E173" s="712"/>
      <c r="F173" s="712"/>
      <c r="G173" s="712"/>
      <c r="H173" s="712"/>
      <c r="I173" s="712"/>
      <c r="J173" s="712"/>
      <c r="K173" s="712"/>
      <c r="L173" s="713"/>
      <c r="M173" s="168"/>
    </row>
    <row r="174" spans="1:16" x14ac:dyDescent="0.25">
      <c r="B174" s="170"/>
      <c r="C174" s="171"/>
      <c r="D174" s="171"/>
      <c r="E174" s="171"/>
      <c r="F174" s="171"/>
      <c r="G174" s="171"/>
      <c r="H174" s="171"/>
      <c r="I174" s="171"/>
      <c r="J174" s="171"/>
      <c r="K174" s="171"/>
      <c r="L174" s="172"/>
      <c r="M174" s="2"/>
    </row>
    <row r="175" spans="1:16" x14ac:dyDescent="0.25">
      <c r="B175" s="634" t="str">
        <f>IF(Intro!$G$21="English",O175,P175)</f>
        <v>Provide your firm’s strategies and objectives for the next two years with respect to the pricing of the goods. Provide the rationale and assumptions underlying these strategies and objectives.</v>
      </c>
      <c r="C175" s="635"/>
      <c r="D175" s="635"/>
      <c r="E175" s="635"/>
      <c r="F175" s="635"/>
      <c r="G175" s="635"/>
      <c r="H175" s="635"/>
      <c r="I175" s="635"/>
      <c r="J175" s="635"/>
      <c r="K175" s="635"/>
      <c r="L175" s="636"/>
      <c r="M175" s="2"/>
      <c r="O175" s="2" t="s">
        <v>358</v>
      </c>
      <c r="P175" s="2" t="s">
        <v>203</v>
      </c>
    </row>
    <row r="176" spans="1:16" x14ac:dyDescent="0.25">
      <c r="B176" s="634"/>
      <c r="C176" s="635"/>
      <c r="D176" s="635"/>
      <c r="E176" s="635"/>
      <c r="F176" s="635"/>
      <c r="G176" s="635"/>
      <c r="H176" s="635"/>
      <c r="I176" s="635"/>
      <c r="J176" s="635"/>
      <c r="K176" s="635"/>
      <c r="L176" s="636"/>
      <c r="M176" s="2"/>
    </row>
    <row r="177" spans="1:16" x14ac:dyDescent="0.25">
      <c r="B177" s="170"/>
      <c r="C177" s="171"/>
      <c r="D177" s="171"/>
      <c r="E177" s="171"/>
      <c r="F177" s="171"/>
      <c r="G177" s="171"/>
      <c r="H177" s="171"/>
      <c r="I177" s="171"/>
      <c r="J177" s="171"/>
      <c r="K177" s="171"/>
      <c r="L177" s="172"/>
      <c r="M177" s="2"/>
    </row>
    <row r="178" spans="1:16" s="3" customFormat="1" x14ac:dyDescent="0.25">
      <c r="A178" s="12"/>
      <c r="B178" s="705"/>
      <c r="C178" s="706"/>
      <c r="D178" s="706"/>
      <c r="E178" s="706"/>
      <c r="F178" s="706"/>
      <c r="G178" s="706"/>
      <c r="H178" s="706"/>
      <c r="I178" s="706"/>
      <c r="J178" s="706"/>
      <c r="K178" s="706"/>
      <c r="L178" s="707"/>
      <c r="M178" s="152"/>
      <c r="O178" s="154"/>
      <c r="P178" s="154"/>
    </row>
    <row r="179" spans="1:16" s="3" customFormat="1" x14ac:dyDescent="0.25">
      <c r="A179" s="12"/>
      <c r="B179" s="705"/>
      <c r="C179" s="706"/>
      <c r="D179" s="706"/>
      <c r="E179" s="706"/>
      <c r="F179" s="706"/>
      <c r="G179" s="706"/>
      <c r="H179" s="706"/>
      <c r="I179" s="706"/>
      <c r="J179" s="706"/>
      <c r="K179" s="706"/>
      <c r="L179" s="707"/>
      <c r="M179" s="152"/>
      <c r="O179" s="154"/>
      <c r="P179" s="154"/>
    </row>
    <row r="180" spans="1:16" s="3" customFormat="1" x14ac:dyDescent="0.25">
      <c r="A180" s="12"/>
      <c r="B180" s="705"/>
      <c r="C180" s="706"/>
      <c r="D180" s="706"/>
      <c r="E180" s="706"/>
      <c r="F180" s="706"/>
      <c r="G180" s="706"/>
      <c r="H180" s="706"/>
      <c r="I180" s="706"/>
      <c r="J180" s="706"/>
      <c r="K180" s="706"/>
      <c r="L180" s="707"/>
      <c r="M180" s="152"/>
      <c r="O180" s="154"/>
      <c r="P180" s="154"/>
    </row>
    <row r="181" spans="1:16" s="3" customFormat="1" x14ac:dyDescent="0.25">
      <c r="A181" s="12"/>
      <c r="B181" s="705"/>
      <c r="C181" s="706"/>
      <c r="D181" s="706"/>
      <c r="E181" s="706"/>
      <c r="F181" s="706"/>
      <c r="G181" s="706"/>
      <c r="H181" s="706"/>
      <c r="I181" s="706"/>
      <c r="J181" s="706"/>
      <c r="K181" s="706"/>
      <c r="L181" s="707"/>
      <c r="M181" s="152"/>
      <c r="O181" s="154"/>
      <c r="P181" s="154"/>
    </row>
    <row r="182" spans="1:16" s="3" customFormat="1" x14ac:dyDescent="0.25">
      <c r="A182" s="12"/>
      <c r="B182" s="705"/>
      <c r="C182" s="706"/>
      <c r="D182" s="706"/>
      <c r="E182" s="706"/>
      <c r="F182" s="706"/>
      <c r="G182" s="706"/>
      <c r="H182" s="706"/>
      <c r="I182" s="706"/>
      <c r="J182" s="706"/>
      <c r="K182" s="706"/>
      <c r="L182" s="707"/>
      <c r="M182" s="152"/>
      <c r="O182" s="154"/>
      <c r="P182" s="154"/>
    </row>
    <row r="183" spans="1:16" s="3" customFormat="1" x14ac:dyDescent="0.25">
      <c r="A183" s="12"/>
      <c r="B183" s="705"/>
      <c r="C183" s="706"/>
      <c r="D183" s="706"/>
      <c r="E183" s="706"/>
      <c r="F183" s="706"/>
      <c r="G183" s="706"/>
      <c r="H183" s="706"/>
      <c r="I183" s="706"/>
      <c r="J183" s="706"/>
      <c r="K183" s="706"/>
      <c r="L183" s="707"/>
      <c r="M183" s="152"/>
      <c r="O183" s="154"/>
      <c r="P183" s="154"/>
    </row>
    <row r="184" spans="1:16" s="3" customFormat="1" x14ac:dyDescent="0.25">
      <c r="A184" s="12"/>
      <c r="B184" s="705"/>
      <c r="C184" s="706"/>
      <c r="D184" s="706"/>
      <c r="E184" s="706"/>
      <c r="F184" s="706"/>
      <c r="G184" s="706"/>
      <c r="H184" s="706"/>
      <c r="I184" s="706"/>
      <c r="J184" s="706"/>
      <c r="K184" s="706"/>
      <c r="L184" s="707"/>
      <c r="M184" s="152"/>
      <c r="O184" s="154"/>
      <c r="P184" s="154"/>
    </row>
    <row r="185" spans="1:16" s="3" customFormat="1" x14ac:dyDescent="0.25">
      <c r="A185" s="12"/>
      <c r="B185" s="705"/>
      <c r="C185" s="706"/>
      <c r="D185" s="706"/>
      <c r="E185" s="706"/>
      <c r="F185" s="706"/>
      <c r="G185" s="706"/>
      <c r="H185" s="706"/>
      <c r="I185" s="706"/>
      <c r="J185" s="706"/>
      <c r="K185" s="706"/>
      <c r="L185" s="707"/>
      <c r="M185" s="152"/>
      <c r="O185" s="154"/>
      <c r="P185" s="154"/>
    </row>
    <row r="186" spans="1:16" x14ac:dyDescent="0.25">
      <c r="B186" s="176"/>
      <c r="C186" s="177"/>
      <c r="D186" s="177"/>
      <c r="E186" s="177"/>
      <c r="F186" s="177"/>
      <c r="G186" s="177"/>
      <c r="H186" s="177"/>
      <c r="I186" s="177"/>
      <c r="J186" s="177"/>
      <c r="K186" s="177"/>
      <c r="L186" s="178"/>
      <c r="M186" s="2"/>
    </row>
    <row r="187" spans="1:16" s="3" customFormat="1" x14ac:dyDescent="0.25">
      <c r="A187" s="12"/>
      <c r="B187" s="711" t="s">
        <v>36</v>
      </c>
      <c r="C187" s="712"/>
      <c r="D187" s="712"/>
      <c r="E187" s="712"/>
      <c r="F187" s="712"/>
      <c r="G187" s="712"/>
      <c r="H187" s="712"/>
      <c r="I187" s="712"/>
      <c r="J187" s="712"/>
      <c r="K187" s="712"/>
      <c r="L187" s="713"/>
      <c r="M187" s="168"/>
    </row>
    <row r="188" spans="1:16" x14ac:dyDescent="0.25">
      <c r="B188" s="170"/>
      <c r="C188" s="171"/>
      <c r="D188" s="171"/>
      <c r="E188" s="171"/>
      <c r="F188" s="171"/>
      <c r="G188" s="171"/>
      <c r="H188" s="171"/>
      <c r="I188" s="171"/>
      <c r="J188" s="171"/>
      <c r="K188" s="171"/>
      <c r="L188" s="172"/>
      <c r="M188" s="2"/>
    </row>
    <row r="189" spans="1:16" x14ac:dyDescent="0.25">
      <c r="B189" s="634" t="str">
        <f>IF(Intro!$G$21="English",O189,P189)</f>
        <v>Provide your firm’s strategies and objectives for the next two years with respect to the export sales of the goods. Provide the rationale and assumptions underlying these strategies and objectives.</v>
      </c>
      <c r="C189" s="635"/>
      <c r="D189" s="635"/>
      <c r="E189" s="635"/>
      <c r="F189" s="635"/>
      <c r="G189" s="635"/>
      <c r="H189" s="635"/>
      <c r="I189" s="635"/>
      <c r="J189" s="635"/>
      <c r="K189" s="635"/>
      <c r="L189" s="636"/>
      <c r="M189" s="2"/>
      <c r="O189" s="2" t="s">
        <v>201</v>
      </c>
      <c r="P189" s="2" t="s">
        <v>202</v>
      </c>
    </row>
    <row r="190" spans="1:16" x14ac:dyDescent="0.25">
      <c r="B190" s="634"/>
      <c r="C190" s="635"/>
      <c r="D190" s="635"/>
      <c r="E190" s="635"/>
      <c r="F190" s="635"/>
      <c r="G190" s="635"/>
      <c r="H190" s="635"/>
      <c r="I190" s="635"/>
      <c r="J190" s="635"/>
      <c r="K190" s="635"/>
      <c r="L190" s="636"/>
      <c r="M190" s="2"/>
    </row>
    <row r="191" spans="1:16" x14ac:dyDescent="0.25">
      <c r="B191" s="170"/>
      <c r="C191" s="171"/>
      <c r="D191" s="171"/>
      <c r="E191" s="171"/>
      <c r="F191" s="171"/>
      <c r="G191" s="171"/>
      <c r="H191" s="171"/>
      <c r="I191" s="171"/>
      <c r="J191" s="171"/>
      <c r="K191" s="171"/>
      <c r="L191" s="172"/>
      <c r="M191" s="2"/>
    </row>
    <row r="192" spans="1:16" s="3" customFormat="1" x14ac:dyDescent="0.25">
      <c r="A192" s="12"/>
      <c r="B192" s="705"/>
      <c r="C192" s="706"/>
      <c r="D192" s="706"/>
      <c r="E192" s="706"/>
      <c r="F192" s="706"/>
      <c r="G192" s="706"/>
      <c r="H192" s="706"/>
      <c r="I192" s="706"/>
      <c r="J192" s="706"/>
      <c r="K192" s="706"/>
      <c r="L192" s="707"/>
      <c r="M192" s="152"/>
      <c r="O192" s="154"/>
      <c r="P192" s="154"/>
    </row>
    <row r="193" spans="1:16" s="3" customFormat="1" x14ac:dyDescent="0.25">
      <c r="A193" s="12"/>
      <c r="B193" s="705"/>
      <c r="C193" s="706"/>
      <c r="D193" s="706"/>
      <c r="E193" s="706"/>
      <c r="F193" s="706"/>
      <c r="G193" s="706"/>
      <c r="H193" s="706"/>
      <c r="I193" s="706"/>
      <c r="J193" s="706"/>
      <c r="K193" s="706"/>
      <c r="L193" s="707"/>
      <c r="M193" s="152"/>
      <c r="O193" s="154"/>
      <c r="P193" s="154"/>
    </row>
    <row r="194" spans="1:16" s="3" customFormat="1" x14ac:dyDescent="0.25">
      <c r="A194" s="12"/>
      <c r="B194" s="705"/>
      <c r="C194" s="706"/>
      <c r="D194" s="706"/>
      <c r="E194" s="706"/>
      <c r="F194" s="706"/>
      <c r="G194" s="706"/>
      <c r="H194" s="706"/>
      <c r="I194" s="706"/>
      <c r="J194" s="706"/>
      <c r="K194" s="706"/>
      <c r="L194" s="707"/>
      <c r="M194" s="152"/>
      <c r="O194" s="154"/>
      <c r="P194" s="154"/>
    </row>
    <row r="195" spans="1:16" s="3" customFormat="1" x14ac:dyDescent="0.25">
      <c r="A195" s="12"/>
      <c r="B195" s="705"/>
      <c r="C195" s="706"/>
      <c r="D195" s="706"/>
      <c r="E195" s="706"/>
      <c r="F195" s="706"/>
      <c r="G195" s="706"/>
      <c r="H195" s="706"/>
      <c r="I195" s="706"/>
      <c r="J195" s="706"/>
      <c r="K195" s="706"/>
      <c r="L195" s="707"/>
      <c r="M195" s="152"/>
      <c r="O195" s="154"/>
      <c r="P195" s="154"/>
    </row>
    <row r="196" spans="1:16" s="3" customFormat="1" x14ac:dyDescent="0.25">
      <c r="A196" s="12"/>
      <c r="B196" s="705"/>
      <c r="C196" s="706"/>
      <c r="D196" s="706"/>
      <c r="E196" s="706"/>
      <c r="F196" s="706"/>
      <c r="G196" s="706"/>
      <c r="H196" s="706"/>
      <c r="I196" s="706"/>
      <c r="J196" s="706"/>
      <c r="K196" s="706"/>
      <c r="L196" s="707"/>
      <c r="M196" s="152"/>
      <c r="O196" s="154"/>
      <c r="P196" s="154"/>
    </row>
    <row r="197" spans="1:16" s="3" customFormat="1" x14ac:dyDescent="0.25">
      <c r="A197" s="12"/>
      <c r="B197" s="705"/>
      <c r="C197" s="706"/>
      <c r="D197" s="706"/>
      <c r="E197" s="706"/>
      <c r="F197" s="706"/>
      <c r="G197" s="706"/>
      <c r="H197" s="706"/>
      <c r="I197" s="706"/>
      <c r="J197" s="706"/>
      <c r="K197" s="706"/>
      <c r="L197" s="707"/>
      <c r="M197" s="152"/>
      <c r="O197" s="154"/>
      <c r="P197" s="154"/>
    </row>
    <row r="198" spans="1:16" s="3" customFormat="1" x14ac:dyDescent="0.25">
      <c r="A198" s="12"/>
      <c r="B198" s="705"/>
      <c r="C198" s="706"/>
      <c r="D198" s="706"/>
      <c r="E198" s="706"/>
      <c r="F198" s="706"/>
      <c r="G198" s="706"/>
      <c r="H198" s="706"/>
      <c r="I198" s="706"/>
      <c r="J198" s="706"/>
      <c r="K198" s="706"/>
      <c r="L198" s="707"/>
      <c r="M198" s="152"/>
      <c r="O198" s="154"/>
      <c r="P198" s="154"/>
    </row>
    <row r="199" spans="1:16" s="3" customFormat="1" x14ac:dyDescent="0.25">
      <c r="A199" s="12"/>
      <c r="B199" s="705"/>
      <c r="C199" s="706"/>
      <c r="D199" s="706"/>
      <c r="E199" s="706"/>
      <c r="F199" s="706"/>
      <c r="G199" s="706"/>
      <c r="H199" s="706"/>
      <c r="I199" s="706"/>
      <c r="J199" s="706"/>
      <c r="K199" s="706"/>
      <c r="L199" s="707"/>
      <c r="M199" s="152"/>
      <c r="O199" s="154"/>
      <c r="P199" s="154"/>
    </row>
    <row r="200" spans="1:16" x14ac:dyDescent="0.25">
      <c r="B200" s="176"/>
      <c r="C200" s="177"/>
      <c r="D200" s="177"/>
      <c r="E200" s="177"/>
      <c r="F200" s="177"/>
      <c r="G200" s="177"/>
      <c r="H200" s="177"/>
      <c r="I200" s="177"/>
      <c r="J200" s="177"/>
      <c r="K200" s="177"/>
      <c r="L200" s="178"/>
      <c r="M200" s="2"/>
    </row>
    <row r="201" spans="1:16" s="3" customFormat="1" x14ac:dyDescent="0.25">
      <c r="A201" s="12"/>
      <c r="B201" s="183"/>
      <c r="C201" s="183"/>
      <c r="D201" s="183"/>
      <c r="E201" s="184"/>
      <c r="F201" s="184"/>
      <c r="G201" s="184"/>
      <c r="H201" s="184"/>
      <c r="I201" s="184"/>
      <c r="J201" s="184"/>
      <c r="K201" s="184"/>
      <c r="L201" s="184"/>
      <c r="M201" s="168"/>
    </row>
    <row r="202" spans="1:16" x14ac:dyDescent="0.25">
      <c r="B202" s="618" t="str">
        <f>IF(Intro!$G$21="English",O202,P202)</f>
        <v>REGIONAL SALES</v>
      </c>
      <c r="C202" s="619"/>
      <c r="D202" s="619"/>
      <c r="E202" s="619"/>
      <c r="F202" s="619"/>
      <c r="G202" s="619"/>
      <c r="H202" s="619"/>
      <c r="I202" s="619"/>
      <c r="J202" s="619"/>
      <c r="K202" s="619"/>
      <c r="L202" s="620"/>
      <c r="M202" s="2"/>
      <c r="O202" s="199" t="s">
        <v>653</v>
      </c>
      <c r="P202" s="199" t="s">
        <v>654</v>
      </c>
    </row>
    <row r="203" spans="1:16" x14ac:dyDescent="0.25">
      <c r="B203" s="714" t="s">
        <v>37</v>
      </c>
      <c r="C203" s="715"/>
      <c r="D203" s="715"/>
      <c r="E203" s="715"/>
      <c r="F203" s="715"/>
      <c r="G203" s="715"/>
      <c r="H203" s="715"/>
      <c r="I203" s="715"/>
      <c r="J203" s="715"/>
      <c r="K203" s="715"/>
      <c r="L203" s="716"/>
      <c r="M203" s="2"/>
    </row>
    <row r="204" spans="1:16" x14ac:dyDescent="0.25">
      <c r="B204" s="24"/>
      <c r="C204" s="25"/>
      <c r="D204" s="25"/>
      <c r="E204" s="26"/>
      <c r="F204" s="26"/>
      <c r="G204" s="26"/>
      <c r="H204" s="26"/>
      <c r="I204" s="26"/>
      <c r="J204" s="26"/>
      <c r="K204" s="26"/>
      <c r="L204" s="27"/>
      <c r="M204" s="2"/>
    </row>
    <row r="205" spans="1:16" x14ac:dyDescent="0.25">
      <c r="B205" s="612" t="str">
        <f>IF(Intro!$G$21="English",O205,P205)</f>
        <v>Provide your firm's domestic sales volumes of the goods produced in Canada by region.</v>
      </c>
      <c r="C205" s="613"/>
      <c r="D205" s="613"/>
      <c r="E205" s="613"/>
      <c r="F205" s="613"/>
      <c r="G205" s="613"/>
      <c r="H205" s="613"/>
      <c r="I205" s="613"/>
      <c r="J205" s="613"/>
      <c r="K205" s="613"/>
      <c r="L205" s="614"/>
      <c r="M205" s="2"/>
      <c r="O205" s="11" t="s">
        <v>802</v>
      </c>
      <c r="P205" s="2" t="s">
        <v>803</v>
      </c>
    </row>
    <row r="206" spans="1:16" ht="15" x14ac:dyDescent="0.2">
      <c r="B206" s="159"/>
      <c r="C206" s="160"/>
      <c r="D206" s="25"/>
      <c r="E206" s="26"/>
      <c r="F206" s="26"/>
      <c r="G206" s="26"/>
      <c r="H206" s="26"/>
      <c r="I206" s="26"/>
      <c r="J206" s="26"/>
      <c r="K206" s="26"/>
      <c r="L206" s="27"/>
      <c r="M206" s="2"/>
      <c r="O206" s="11"/>
      <c r="P206" s="292"/>
    </row>
    <row r="207" spans="1:16" x14ac:dyDescent="0.25">
      <c r="B207" s="159"/>
      <c r="C207" s="160"/>
      <c r="D207" s="2"/>
      <c r="E207" s="2"/>
      <c r="F207" s="25"/>
      <c r="G207" s="806">
        <f>Variables!$B$6</f>
        <v>2023</v>
      </c>
      <c r="H207" s="806">
        <f>G207+1</f>
        <v>2024</v>
      </c>
      <c r="I207" s="806">
        <f>H207+1</f>
        <v>2025</v>
      </c>
      <c r="J207" s="806" t="str">
        <f>J144</f>
        <v>Jan-Mar 2025</v>
      </c>
      <c r="K207" s="806" t="str">
        <f>K144</f>
        <v>Jan-Mar 2026</v>
      </c>
      <c r="L207" s="179"/>
      <c r="M207" s="2"/>
      <c r="O207" s="11"/>
    </row>
    <row r="208" spans="1:16" x14ac:dyDescent="0.25">
      <c r="B208" s="159"/>
      <c r="C208" s="160"/>
      <c r="D208" s="2"/>
      <c r="E208" s="2"/>
      <c r="F208" s="25"/>
      <c r="G208" s="806"/>
      <c r="H208" s="806"/>
      <c r="I208" s="806"/>
      <c r="J208" s="806"/>
      <c r="K208" s="806"/>
      <c r="L208" s="179"/>
      <c r="M208" s="2"/>
      <c r="O208" s="11"/>
    </row>
    <row r="209" spans="1:16" x14ac:dyDescent="0.25">
      <c r="B209" s="594" t="str">
        <f>IF(Intro!$G$21="English",O209,P209)</f>
        <v>Atlantic Provinces</v>
      </c>
      <c r="C209" s="595"/>
      <c r="D209" s="595"/>
      <c r="E209" s="595"/>
      <c r="F209" s="206" t="s">
        <v>188</v>
      </c>
      <c r="G209" s="263"/>
      <c r="H209" s="263"/>
      <c r="I209" s="263"/>
      <c r="J209" s="263"/>
      <c r="K209" s="263"/>
      <c r="L209" s="179"/>
      <c r="M209" s="2"/>
      <c r="O209" s="2" t="s">
        <v>104</v>
      </c>
      <c r="P209" s="2" t="s">
        <v>105</v>
      </c>
    </row>
    <row r="210" spans="1:16" x14ac:dyDescent="0.25">
      <c r="B210" s="594" t="str">
        <f>IF(Intro!$G$21="English",O210,P210)</f>
        <v xml:space="preserve">Quebec and Ontario </v>
      </c>
      <c r="C210" s="595"/>
      <c r="D210" s="595"/>
      <c r="E210" s="595"/>
      <c r="F210" s="206" t="s">
        <v>188</v>
      </c>
      <c r="G210" s="263"/>
      <c r="H210" s="263"/>
      <c r="I210" s="263"/>
      <c r="J210" s="263"/>
      <c r="K210" s="263"/>
      <c r="L210" s="179"/>
      <c r="M210" s="2"/>
      <c r="O210" s="2" t="s">
        <v>103</v>
      </c>
      <c r="P210" s="2" t="s">
        <v>106</v>
      </c>
    </row>
    <row r="211" spans="1:16" x14ac:dyDescent="0.25">
      <c r="B211" s="594" t="str">
        <f>IF(Intro!$G$21="English",O211,P211)</f>
        <v>Manitoba and Saskatchewan</v>
      </c>
      <c r="C211" s="595"/>
      <c r="D211" s="595"/>
      <c r="E211" s="595"/>
      <c r="F211" s="206" t="s">
        <v>188</v>
      </c>
      <c r="G211" s="263"/>
      <c r="H211" s="263"/>
      <c r="I211" s="263"/>
      <c r="J211" s="263"/>
      <c r="K211" s="263"/>
      <c r="L211" s="179"/>
      <c r="M211" s="2"/>
      <c r="O211" s="2" t="s">
        <v>102</v>
      </c>
      <c r="P211" s="2" t="s">
        <v>107</v>
      </c>
    </row>
    <row r="212" spans="1:16" x14ac:dyDescent="0.25">
      <c r="B212" s="594" t="str">
        <f>IF(Intro!$G$21="English",O212,P212)</f>
        <v>Alberta and British Columbia</v>
      </c>
      <c r="C212" s="595"/>
      <c r="D212" s="595"/>
      <c r="E212" s="595"/>
      <c r="F212" s="206" t="s">
        <v>188</v>
      </c>
      <c r="G212" s="263"/>
      <c r="H212" s="263"/>
      <c r="I212" s="263"/>
      <c r="J212" s="263"/>
      <c r="K212" s="263"/>
      <c r="L212" s="179"/>
      <c r="M212" s="2"/>
      <c r="O212" s="2" t="s">
        <v>101</v>
      </c>
      <c r="P212" s="2" t="s">
        <v>108</v>
      </c>
    </row>
    <row r="213" spans="1:16" x14ac:dyDescent="0.25">
      <c r="B213" s="594" t="str">
        <f>IF(Intro!$G$21="English",O213,P213)</f>
        <v>Nunavut, Yukon and Northwest Territories</v>
      </c>
      <c r="C213" s="595"/>
      <c r="D213" s="595"/>
      <c r="E213" s="595"/>
      <c r="F213" s="206" t="s">
        <v>188</v>
      </c>
      <c r="G213" s="263"/>
      <c r="H213" s="263"/>
      <c r="I213" s="263"/>
      <c r="J213" s="263"/>
      <c r="K213" s="263"/>
      <c r="L213" s="179"/>
      <c r="M213" s="2"/>
      <c r="O213" s="2" t="s">
        <v>100</v>
      </c>
      <c r="P213" s="2" t="s">
        <v>109</v>
      </c>
    </row>
    <row r="214" spans="1:16" s="3" customFormat="1" x14ac:dyDescent="0.25">
      <c r="A214" s="18"/>
      <c r="B214" s="594" t="str">
        <f>IF(Intro!$G$21="English",O214,P214)</f>
        <v>Unaccounted</v>
      </c>
      <c r="C214" s="595"/>
      <c r="D214" s="595"/>
      <c r="E214" s="595"/>
      <c r="F214" s="206" t="s">
        <v>188</v>
      </c>
      <c r="G214" s="270">
        <f>100-SUM(G209:G213)</f>
        <v>100</v>
      </c>
      <c r="H214" s="270">
        <f t="shared" ref="H214:I214" si="16">100-SUM(H209:H213)</f>
        <v>100</v>
      </c>
      <c r="I214" s="270">
        <f t="shared" si="16"/>
        <v>100</v>
      </c>
      <c r="J214" s="270">
        <f t="shared" ref="J214:K214" si="17">100-SUM(J209:J213)</f>
        <v>100</v>
      </c>
      <c r="K214" s="270">
        <f t="shared" si="17"/>
        <v>100</v>
      </c>
      <c r="L214" s="179"/>
      <c r="O214" s="3" t="s">
        <v>431</v>
      </c>
      <c r="P214" s="3" t="s">
        <v>592</v>
      </c>
    </row>
    <row r="215" spans="1:16" x14ac:dyDescent="0.25">
      <c r="B215" s="176"/>
      <c r="C215" s="177"/>
      <c r="D215" s="177"/>
      <c r="E215" s="177"/>
      <c r="F215" s="177"/>
      <c r="G215" s="177"/>
      <c r="H215" s="177"/>
      <c r="I215" s="177"/>
      <c r="J215" s="177"/>
      <c r="K215" s="177"/>
      <c r="L215" s="178"/>
      <c r="M215" s="2"/>
    </row>
    <row r="216" spans="1:16" x14ac:dyDescent="0.25">
      <c r="B216" s="171"/>
      <c r="C216" s="171"/>
      <c r="D216" s="171"/>
      <c r="E216" s="171"/>
      <c r="F216" s="171"/>
      <c r="G216" s="171"/>
      <c r="H216" s="171"/>
      <c r="I216" s="171"/>
      <c r="J216" s="171"/>
      <c r="K216" s="171"/>
      <c r="L216" s="171"/>
      <c r="M216" s="2"/>
    </row>
    <row r="217" spans="1:16" x14ac:dyDescent="0.25">
      <c r="B217" s="618" t="str">
        <f>IF(Intro!$G$21="English",O217,P217)</f>
        <v>SALES IN CANADA OF DOMESTIC PRODUCTION TO TOP FIVE ACCOUNTS</v>
      </c>
      <c r="C217" s="619"/>
      <c r="D217" s="619"/>
      <c r="E217" s="619"/>
      <c r="F217" s="619"/>
      <c r="G217" s="619"/>
      <c r="H217" s="619"/>
      <c r="I217" s="619"/>
      <c r="J217" s="619"/>
      <c r="K217" s="619"/>
      <c r="L217" s="620"/>
      <c r="M217" s="2"/>
      <c r="O217" s="2" t="s">
        <v>127</v>
      </c>
      <c r="P217" s="2" t="s">
        <v>126</v>
      </c>
    </row>
    <row r="218" spans="1:16" x14ac:dyDescent="0.25">
      <c r="B218" s="714" t="s">
        <v>38</v>
      </c>
      <c r="C218" s="715"/>
      <c r="D218" s="715"/>
      <c r="E218" s="715"/>
      <c r="F218" s="715"/>
      <c r="G218" s="715"/>
      <c r="H218" s="715"/>
      <c r="I218" s="715"/>
      <c r="J218" s="715"/>
      <c r="K218" s="715"/>
      <c r="L218" s="716"/>
      <c r="M218" s="2"/>
    </row>
    <row r="219" spans="1:16" x14ac:dyDescent="0.25">
      <c r="B219" s="24"/>
      <c r="C219" s="25"/>
      <c r="D219" s="25"/>
      <c r="E219" s="26"/>
      <c r="F219" s="26"/>
      <c r="G219" s="26"/>
      <c r="H219" s="26"/>
      <c r="I219" s="26"/>
      <c r="J219" s="26"/>
      <c r="K219" s="26"/>
      <c r="L219" s="27"/>
      <c r="M219" s="2"/>
    </row>
    <row r="220" spans="1:16" x14ac:dyDescent="0.25">
      <c r="B220" s="612" t="str">
        <f>IF(Intro!$G$21="English",O220,P220)</f>
        <v>Identify your firm's five largest accounts for the goods produced and sold in Canada, by volume since Q2 - 2024.</v>
      </c>
      <c r="C220" s="613"/>
      <c r="D220" s="613"/>
      <c r="E220" s="613"/>
      <c r="F220" s="613"/>
      <c r="G220" s="613"/>
      <c r="H220" s="613"/>
      <c r="I220" s="613"/>
      <c r="J220" s="613"/>
      <c r="K220" s="613"/>
      <c r="L220" s="614"/>
      <c r="M220" s="2"/>
      <c r="O220" s="11" t="str">
        <f>"Identify your firm's five largest accounts for the goods produced and sold in Canada, by volume since "&amp;E232&amp;"."</f>
        <v>Identify your firm's five largest accounts for the goods produced and sold in Canada, by volume since Q2 - 2024.</v>
      </c>
      <c r="P220" s="2" t="str">
        <f>"Indiquez les cinq plus importants clients de votre entreprise pour les marchandises, par volume produit et vendu au Canada, depuis "&amp;E232&amp;"."</f>
        <v>Indiquez les cinq plus importants clients de votre entreprise pour les marchandises, par volume produit et vendu au Canada, depuis Q2 - 2024.</v>
      </c>
    </row>
    <row r="221" spans="1:16" x14ac:dyDescent="0.25">
      <c r="B221" s="159"/>
      <c r="C221" s="160"/>
      <c r="D221" s="25"/>
      <c r="E221" s="26"/>
      <c r="F221" s="26"/>
      <c r="G221" s="26"/>
      <c r="H221" s="26"/>
      <c r="I221" s="26"/>
      <c r="J221" s="26"/>
      <c r="K221" s="26"/>
      <c r="L221" s="27"/>
      <c r="M221" s="2"/>
      <c r="O221" s="11"/>
    </row>
    <row r="222" spans="1:16" x14ac:dyDescent="0.25">
      <c r="B222" s="203" t="str">
        <f>IF(Intro!$G$21="English",O222,P222)</f>
        <v>Account 1</v>
      </c>
      <c r="C222" s="818"/>
      <c r="D222" s="819"/>
      <c r="E222" s="819"/>
      <c r="F222" s="819"/>
      <c r="G222" s="819"/>
      <c r="H222" s="819"/>
      <c r="I222" s="819"/>
      <c r="J222" s="819"/>
      <c r="K222" s="819"/>
      <c r="L222" s="819"/>
      <c r="M222" s="2"/>
      <c r="O222" s="11" t="s">
        <v>116</v>
      </c>
      <c r="P222" s="2" t="s">
        <v>117</v>
      </c>
    </row>
    <row r="223" spans="1:16" x14ac:dyDescent="0.25">
      <c r="B223" s="203" t="str">
        <f>IF(Intro!$G$21="English",O223,P223)</f>
        <v>Account 2</v>
      </c>
      <c r="C223" s="818"/>
      <c r="D223" s="819"/>
      <c r="E223" s="819"/>
      <c r="F223" s="819"/>
      <c r="G223" s="819"/>
      <c r="H223" s="819"/>
      <c r="I223" s="819"/>
      <c r="J223" s="819"/>
      <c r="K223" s="819"/>
      <c r="L223" s="819"/>
      <c r="M223" s="2"/>
      <c r="O223" s="11" t="s">
        <v>118</v>
      </c>
      <c r="P223" s="2" t="s">
        <v>119</v>
      </c>
    </row>
    <row r="224" spans="1:16" x14ac:dyDescent="0.25">
      <c r="B224" s="203" t="str">
        <f>IF(Intro!$G$21="English",O224,P224)</f>
        <v>Account 3</v>
      </c>
      <c r="C224" s="818"/>
      <c r="D224" s="819"/>
      <c r="E224" s="819"/>
      <c r="F224" s="819"/>
      <c r="G224" s="819"/>
      <c r="H224" s="819"/>
      <c r="I224" s="819"/>
      <c r="J224" s="819"/>
      <c r="K224" s="819"/>
      <c r="L224" s="819"/>
      <c r="M224" s="2"/>
      <c r="O224" s="11" t="s">
        <v>120</v>
      </c>
      <c r="P224" s="2" t="s">
        <v>121</v>
      </c>
    </row>
    <row r="225" spans="2:16" x14ac:dyDescent="0.25">
      <c r="B225" s="203" t="str">
        <f>IF(Intro!$G$21="English",O225,P225)</f>
        <v>Account 4</v>
      </c>
      <c r="C225" s="818"/>
      <c r="D225" s="819"/>
      <c r="E225" s="819"/>
      <c r="F225" s="819"/>
      <c r="G225" s="819"/>
      <c r="H225" s="819"/>
      <c r="I225" s="819"/>
      <c r="J225" s="819"/>
      <c r="K225" s="819"/>
      <c r="L225" s="819"/>
      <c r="M225" s="2"/>
      <c r="O225" s="11" t="s">
        <v>122</v>
      </c>
      <c r="P225" s="2" t="s">
        <v>123</v>
      </c>
    </row>
    <row r="226" spans="2:16" x14ac:dyDescent="0.25">
      <c r="B226" s="203" t="str">
        <f>IF(Intro!$G$21="English",O226,P226)</f>
        <v>Account 5</v>
      </c>
      <c r="C226" s="818"/>
      <c r="D226" s="819"/>
      <c r="E226" s="819"/>
      <c r="F226" s="819"/>
      <c r="G226" s="819"/>
      <c r="H226" s="819"/>
      <c r="I226" s="819"/>
      <c r="J226" s="819"/>
      <c r="K226" s="819"/>
      <c r="L226" s="819"/>
      <c r="M226" s="2"/>
      <c r="O226" s="11" t="s">
        <v>124</v>
      </c>
      <c r="P226" s="2" t="s">
        <v>125</v>
      </c>
    </row>
    <row r="227" spans="2:16" x14ac:dyDescent="0.25">
      <c r="B227" s="159"/>
      <c r="C227" s="160"/>
      <c r="D227" s="25"/>
      <c r="E227" s="26"/>
      <c r="F227" s="26"/>
      <c r="G227" s="26"/>
      <c r="H227" s="26"/>
      <c r="I227" s="26"/>
      <c r="J227" s="26"/>
      <c r="K227" s="26"/>
      <c r="L227" s="27"/>
      <c r="M227" s="2"/>
      <c r="O227" s="11"/>
    </row>
    <row r="228" spans="2:16" x14ac:dyDescent="0.25">
      <c r="B228" s="711" t="s">
        <v>39</v>
      </c>
      <c r="C228" s="712"/>
      <c r="D228" s="712"/>
      <c r="E228" s="712"/>
      <c r="F228" s="712"/>
      <c r="G228" s="712"/>
      <c r="H228" s="712"/>
      <c r="I228" s="712"/>
      <c r="J228" s="712"/>
      <c r="K228" s="712"/>
      <c r="L228" s="713"/>
      <c r="M228" s="2"/>
    </row>
    <row r="229" spans="2:16" x14ac:dyDescent="0.25">
      <c r="B229" s="24"/>
      <c r="C229" s="25"/>
      <c r="D229" s="25"/>
      <c r="E229" s="26"/>
      <c r="F229" s="26"/>
      <c r="G229" s="26"/>
      <c r="H229" s="26"/>
      <c r="I229" s="26"/>
      <c r="J229" s="26"/>
      <c r="K229" s="26"/>
      <c r="L229" s="27"/>
      <c r="M229" s="2"/>
    </row>
    <row r="230" spans="2:16" x14ac:dyDescent="0.25">
      <c r="B230" s="612" t="str">
        <f>IF(Intro!$G$21="English",O230,P230)</f>
        <v xml:space="preserve">Report the volume and value of domestic sales from domestic production for each account listed below: </v>
      </c>
      <c r="C230" s="613"/>
      <c r="D230" s="613"/>
      <c r="E230" s="613"/>
      <c r="F230" s="613"/>
      <c r="G230" s="613"/>
      <c r="H230" s="613"/>
      <c r="I230" s="613"/>
      <c r="J230" s="613"/>
      <c r="K230" s="613"/>
      <c r="L230" s="614"/>
      <c r="M230" s="2"/>
      <c r="O230" s="11" t="s">
        <v>416</v>
      </c>
      <c r="P230" s="2" t="s">
        <v>590</v>
      </c>
    </row>
    <row r="231" spans="2:16" x14ac:dyDescent="0.25">
      <c r="B231" s="159"/>
      <c r="C231" s="160"/>
      <c r="D231" s="25"/>
      <c r="E231" s="26"/>
      <c r="F231" s="26"/>
      <c r="G231" s="26"/>
      <c r="H231" s="26"/>
      <c r="I231" s="26"/>
      <c r="J231" s="26"/>
      <c r="K231" s="26"/>
      <c r="L231" s="27"/>
      <c r="M231" s="2"/>
      <c r="O231" s="11"/>
    </row>
    <row r="232" spans="2:16" x14ac:dyDescent="0.25">
      <c r="B232" s="210"/>
      <c r="C232" s="215"/>
      <c r="D232" s="216"/>
      <c r="E232" s="209" t="str">
        <f>IF(Intro!$G$21="English",Variables!B39,Variables!C39)</f>
        <v>Q2 - 2024</v>
      </c>
      <c r="F232" s="209" t="str">
        <f>IF(Intro!$G$21="English",Variables!B40,Variables!C40)</f>
        <v>Q3 - 2024</v>
      </c>
      <c r="G232" s="209" t="str">
        <f>IF(Intro!$G$21="English",Variables!B41,Variables!C41)</f>
        <v>Q4 - 2024</v>
      </c>
      <c r="H232" s="209" t="str">
        <f>IF(Intro!$G$21="English",Variables!B42,Variables!C42)</f>
        <v>Q1 - 2025</v>
      </c>
      <c r="I232" s="209" t="str">
        <f>IF(Intro!$G$21="English",Variables!B43,Variables!C43)</f>
        <v>Q2 - 2025</v>
      </c>
      <c r="J232" s="209" t="str">
        <f>IF(Intro!$G$21="English",Variables!B44,Variables!C44)</f>
        <v>Q3 - 2025</v>
      </c>
      <c r="K232" s="209" t="str">
        <f>IF(Intro!$G$21="English",Variables!B45,Variables!C45)</f>
        <v>Q4 - 2025</v>
      </c>
      <c r="L232" s="209" t="str">
        <f>IF(Intro!$G$21="English",Variables!B46,Variables!C46)</f>
        <v>Q1 - 2026</v>
      </c>
      <c r="M232" s="2"/>
      <c r="O232" s="11"/>
    </row>
    <row r="233" spans="2:16" x14ac:dyDescent="0.25">
      <c r="B233" s="828" t="str">
        <f>IF(Intro!$G$21="English",O233,P233)</f>
        <v xml:space="preserve">Account 1 - </v>
      </c>
      <c r="C233" s="731"/>
      <c r="D233" s="731"/>
      <c r="E233" s="731"/>
      <c r="F233" s="731"/>
      <c r="G233" s="731"/>
      <c r="H233" s="731"/>
      <c r="I233" s="731"/>
      <c r="J233" s="731"/>
      <c r="K233" s="731"/>
      <c r="L233" s="732"/>
      <c r="M233" s="2"/>
      <c r="O233" s="2" t="str">
        <f>"Account 1 - "&amp;$C222</f>
        <v xml:space="preserve">Account 1 - </v>
      </c>
      <c r="P233" s="2" t="str">
        <f>"Client 1 - "&amp;$C222</f>
        <v xml:space="preserve">Client 1 - </v>
      </c>
    </row>
    <row r="234" spans="2:16" x14ac:dyDescent="0.25">
      <c r="B234" s="816" t="str">
        <f>IF(Intro!$G$21="English",Variables!$B$23,Variables!$C$23)</f>
        <v>MSF</v>
      </c>
      <c r="C234" s="817"/>
      <c r="D234" s="817"/>
      <c r="E234" s="263"/>
      <c r="F234" s="263"/>
      <c r="G234" s="263"/>
      <c r="H234" s="263"/>
      <c r="I234" s="263"/>
      <c r="J234" s="263"/>
      <c r="K234" s="263"/>
      <c r="L234" s="271"/>
      <c r="M234" s="2"/>
    </row>
    <row r="235" spans="2:16" x14ac:dyDescent="0.25">
      <c r="B235" s="816" t="str">
        <f>IF(Intro!G$21="English","net delivered selling value (CAD)","valeur de vente nette rendue (CAD)")</f>
        <v>net delivered selling value (CAD)</v>
      </c>
      <c r="C235" s="829"/>
      <c r="D235" s="829"/>
      <c r="E235" s="263"/>
      <c r="F235" s="263"/>
      <c r="G235" s="263"/>
      <c r="H235" s="263"/>
      <c r="I235" s="263"/>
      <c r="J235" s="263"/>
      <c r="K235" s="263"/>
      <c r="L235" s="271"/>
      <c r="M235" s="2"/>
    </row>
    <row r="236" spans="2:16" x14ac:dyDescent="0.25">
      <c r="B236" s="816" t="str">
        <f>"$ / "&amp;IF(Intro!$G$21="English",Variables!$B$24,Variables!$C$24)</f>
        <v>$ / MSF</v>
      </c>
      <c r="C236" s="829"/>
      <c r="D236" s="829"/>
      <c r="E236" s="568" t="str">
        <f>IF(E234=0,"-",E235/E234)</f>
        <v>-</v>
      </c>
      <c r="F236" s="568" t="str">
        <f>IF(F234=0,"-",F235/F234)</f>
        <v>-</v>
      </c>
      <c r="G236" s="568" t="str">
        <f>IF(G234=0,"-",G235/G234)</f>
        <v>-</v>
      </c>
      <c r="H236" s="568" t="str">
        <f t="shared" ref="H236:L236" si="18">IF(H234=0,"-",H235/H234)</f>
        <v>-</v>
      </c>
      <c r="I236" s="568" t="str">
        <f t="shared" si="18"/>
        <v>-</v>
      </c>
      <c r="J236" s="568" t="str">
        <f t="shared" si="18"/>
        <v>-</v>
      </c>
      <c r="K236" s="568" t="str">
        <f t="shared" si="18"/>
        <v>-</v>
      </c>
      <c r="L236" s="569" t="str">
        <f t="shared" si="18"/>
        <v>-</v>
      </c>
      <c r="M236" s="2"/>
    </row>
    <row r="237" spans="2:16" x14ac:dyDescent="0.25">
      <c r="B237" s="828" t="str">
        <f>IF(Intro!$G$21="English",O237,P237)</f>
        <v xml:space="preserve">Account 2 - </v>
      </c>
      <c r="C237" s="731"/>
      <c r="D237" s="731"/>
      <c r="E237" s="731"/>
      <c r="F237" s="731"/>
      <c r="G237" s="731"/>
      <c r="H237" s="731"/>
      <c r="I237" s="731"/>
      <c r="J237" s="731"/>
      <c r="K237" s="731"/>
      <c r="L237" s="732"/>
      <c r="M237" s="2"/>
      <c r="O237" s="2" t="str">
        <f>"Account 2 - "&amp;$C223</f>
        <v xml:space="preserve">Account 2 - </v>
      </c>
      <c r="P237" s="2" t="str">
        <f>"Client 2 - "&amp;$C223</f>
        <v xml:space="preserve">Client 2 - </v>
      </c>
    </row>
    <row r="238" spans="2:16" x14ac:dyDescent="0.25">
      <c r="B238" s="816" t="str">
        <f>IF(Intro!$G$21="English",Variables!$B$23,Variables!$C$23)</f>
        <v>MSF</v>
      </c>
      <c r="C238" s="817"/>
      <c r="D238" s="817"/>
      <c r="E238" s="263"/>
      <c r="F238" s="263"/>
      <c r="G238" s="263"/>
      <c r="H238" s="263"/>
      <c r="I238" s="263"/>
      <c r="J238" s="263"/>
      <c r="K238" s="263"/>
      <c r="L238" s="271"/>
      <c r="M238" s="2"/>
    </row>
    <row r="239" spans="2:16" x14ac:dyDescent="0.25">
      <c r="B239" s="816" t="str">
        <f>IF(Intro!G$21="English","net delivered selling value (CAD)","valeur de vente nette rendue (CAD)")</f>
        <v>net delivered selling value (CAD)</v>
      </c>
      <c r="C239" s="829"/>
      <c r="D239" s="829"/>
      <c r="E239" s="263"/>
      <c r="F239" s="263"/>
      <c r="G239" s="263"/>
      <c r="H239" s="263"/>
      <c r="I239" s="263"/>
      <c r="J239" s="263"/>
      <c r="K239" s="263"/>
      <c r="L239" s="271"/>
      <c r="M239" s="2"/>
    </row>
    <row r="240" spans="2:16" x14ac:dyDescent="0.25">
      <c r="B240" s="816" t="str">
        <f>"$ / "&amp;IF(Intro!$G$21="English",Variables!$B$24,Variables!$C$24)</f>
        <v>$ / MSF</v>
      </c>
      <c r="C240" s="829"/>
      <c r="D240" s="829"/>
      <c r="E240" s="568" t="str">
        <f>IF(E238=0,"-",E239/E238)</f>
        <v>-</v>
      </c>
      <c r="F240" s="568" t="str">
        <f t="shared" ref="F240:L240" si="19">IF(F238=0,"-",F239/F238)</f>
        <v>-</v>
      </c>
      <c r="G240" s="568" t="str">
        <f t="shared" si="19"/>
        <v>-</v>
      </c>
      <c r="H240" s="568" t="str">
        <f t="shared" si="19"/>
        <v>-</v>
      </c>
      <c r="I240" s="568" t="str">
        <f t="shared" si="19"/>
        <v>-</v>
      </c>
      <c r="J240" s="568" t="str">
        <f t="shared" si="19"/>
        <v>-</v>
      </c>
      <c r="K240" s="568" t="str">
        <f t="shared" si="19"/>
        <v>-</v>
      </c>
      <c r="L240" s="569" t="str">
        <f t="shared" si="19"/>
        <v>-</v>
      </c>
      <c r="M240" s="2"/>
    </row>
    <row r="241" spans="2:19" x14ac:dyDescent="0.25">
      <c r="B241" s="828" t="str">
        <f>IF(Intro!$G$21="English",O241,P241)</f>
        <v xml:space="preserve">Account 3 - </v>
      </c>
      <c r="C241" s="731"/>
      <c r="D241" s="731"/>
      <c r="E241" s="731"/>
      <c r="F241" s="731"/>
      <c r="G241" s="731"/>
      <c r="H241" s="731"/>
      <c r="I241" s="731"/>
      <c r="J241" s="731"/>
      <c r="K241" s="731"/>
      <c r="L241" s="732"/>
      <c r="M241" s="2"/>
      <c r="O241" s="2" t="str">
        <f>"Account 3 - "&amp;$C224</f>
        <v xml:space="preserve">Account 3 - </v>
      </c>
      <c r="P241" s="2" t="str">
        <f>"Client 3 - "&amp;$C224</f>
        <v xml:space="preserve">Client 3 - </v>
      </c>
    </row>
    <row r="242" spans="2:19" x14ac:dyDescent="0.25">
      <c r="B242" s="816" t="str">
        <f>IF(Intro!$G$21="English",Variables!$B$23,Variables!$C$23)</f>
        <v>MSF</v>
      </c>
      <c r="C242" s="817"/>
      <c r="D242" s="817"/>
      <c r="E242" s="263"/>
      <c r="F242" s="263"/>
      <c r="G242" s="263"/>
      <c r="H242" s="263"/>
      <c r="I242" s="263"/>
      <c r="J242" s="263"/>
      <c r="K242" s="263"/>
      <c r="L242" s="271"/>
      <c r="M242" s="2"/>
    </row>
    <row r="243" spans="2:19" x14ac:dyDescent="0.25">
      <c r="B243" s="816" t="str">
        <f>IF(Intro!G$21="English","net delivered selling value (CAD)","valeur de vente nette rendue (CAD)")</f>
        <v>net delivered selling value (CAD)</v>
      </c>
      <c r="C243" s="829"/>
      <c r="D243" s="829"/>
      <c r="E243" s="263"/>
      <c r="F243" s="263"/>
      <c r="G243" s="263"/>
      <c r="H243" s="263"/>
      <c r="I243" s="263"/>
      <c r="J243" s="263"/>
      <c r="K243" s="263"/>
      <c r="L243" s="271"/>
      <c r="M243" s="2"/>
    </row>
    <row r="244" spans="2:19" x14ac:dyDescent="0.25">
      <c r="B244" s="816" t="str">
        <f>"$ / "&amp;IF(Intro!$G$21="English",Variables!$B$24,Variables!$C$24)</f>
        <v>$ / MSF</v>
      </c>
      <c r="C244" s="829"/>
      <c r="D244" s="829"/>
      <c r="E244" s="568" t="str">
        <f>IF(E242=0,"-",E243/E242)</f>
        <v>-</v>
      </c>
      <c r="F244" s="568" t="str">
        <f t="shared" ref="F244:L244" si="20">IF(F242=0,"-",F243/F242)</f>
        <v>-</v>
      </c>
      <c r="G244" s="568" t="str">
        <f t="shared" si="20"/>
        <v>-</v>
      </c>
      <c r="H244" s="568" t="str">
        <f t="shared" si="20"/>
        <v>-</v>
      </c>
      <c r="I244" s="568" t="str">
        <f t="shared" si="20"/>
        <v>-</v>
      </c>
      <c r="J244" s="568" t="str">
        <f t="shared" si="20"/>
        <v>-</v>
      </c>
      <c r="K244" s="568" t="str">
        <f t="shared" si="20"/>
        <v>-</v>
      </c>
      <c r="L244" s="569" t="str">
        <f t="shared" si="20"/>
        <v>-</v>
      </c>
      <c r="M244" s="2"/>
    </row>
    <row r="245" spans="2:19" x14ac:dyDescent="0.25">
      <c r="B245" s="828" t="str">
        <f>IF(Intro!$G$21="English",O245,P245)</f>
        <v xml:space="preserve">Account 4 - </v>
      </c>
      <c r="C245" s="731"/>
      <c r="D245" s="731"/>
      <c r="E245" s="731"/>
      <c r="F245" s="731"/>
      <c r="G245" s="731"/>
      <c r="H245" s="731"/>
      <c r="I245" s="731"/>
      <c r="J245" s="731"/>
      <c r="K245" s="731"/>
      <c r="L245" s="732"/>
      <c r="M245" s="2"/>
      <c r="O245" s="2" t="str">
        <f>"Account 4 - "&amp;$C225</f>
        <v xml:space="preserve">Account 4 - </v>
      </c>
      <c r="P245" s="2" t="str">
        <f>"Client 4 - "&amp;$C225</f>
        <v xml:space="preserve">Client 4 - </v>
      </c>
    </row>
    <row r="246" spans="2:19" x14ac:dyDescent="0.25">
      <c r="B246" s="816" t="str">
        <f>IF(Intro!$G$21="English",Variables!$B$23,Variables!$C$23)</f>
        <v>MSF</v>
      </c>
      <c r="C246" s="817"/>
      <c r="D246" s="817"/>
      <c r="E246" s="263"/>
      <c r="F246" s="263"/>
      <c r="G246" s="263"/>
      <c r="H246" s="263"/>
      <c r="I246" s="263"/>
      <c r="J246" s="263"/>
      <c r="K246" s="263"/>
      <c r="L246" s="271"/>
      <c r="M246" s="2"/>
    </row>
    <row r="247" spans="2:19" x14ac:dyDescent="0.25">
      <c r="B247" s="816" t="str">
        <f>IF(Intro!G$21="English","net delivered selling value (CAD)","valeur de vente nette rendue (CAD)")</f>
        <v>net delivered selling value (CAD)</v>
      </c>
      <c r="C247" s="829"/>
      <c r="D247" s="829"/>
      <c r="E247" s="263"/>
      <c r="F247" s="263"/>
      <c r="G247" s="263"/>
      <c r="H247" s="263"/>
      <c r="I247" s="263"/>
      <c r="J247" s="263"/>
      <c r="K247" s="263"/>
      <c r="L247" s="271"/>
      <c r="M247" s="2"/>
    </row>
    <row r="248" spans="2:19" x14ac:dyDescent="0.25">
      <c r="B248" s="816" t="str">
        <f>"$ / "&amp;IF(Intro!$G$21="English",Variables!$B$24,Variables!$C$24)</f>
        <v>$ / MSF</v>
      </c>
      <c r="C248" s="829"/>
      <c r="D248" s="829"/>
      <c r="E248" s="568" t="str">
        <f>IF(E246=0,"-",E247/E246)</f>
        <v>-</v>
      </c>
      <c r="F248" s="568" t="str">
        <f t="shared" ref="F248:L248" si="21">IF(F246=0,"-",F247/F246)</f>
        <v>-</v>
      </c>
      <c r="G248" s="568" t="str">
        <f t="shared" si="21"/>
        <v>-</v>
      </c>
      <c r="H248" s="568" t="str">
        <f t="shared" si="21"/>
        <v>-</v>
      </c>
      <c r="I248" s="568" t="str">
        <f t="shared" si="21"/>
        <v>-</v>
      </c>
      <c r="J248" s="568" t="str">
        <f t="shared" si="21"/>
        <v>-</v>
      </c>
      <c r="K248" s="568" t="str">
        <f t="shared" si="21"/>
        <v>-</v>
      </c>
      <c r="L248" s="569" t="str">
        <f t="shared" si="21"/>
        <v>-</v>
      </c>
      <c r="M248" s="2"/>
    </row>
    <row r="249" spans="2:19" x14ac:dyDescent="0.25">
      <c r="B249" s="828" t="str">
        <f>IF(Intro!$G$21="English",O249,P249)</f>
        <v xml:space="preserve">Account 5 - </v>
      </c>
      <c r="C249" s="731"/>
      <c r="D249" s="731"/>
      <c r="E249" s="731"/>
      <c r="F249" s="731"/>
      <c r="G249" s="731"/>
      <c r="H249" s="731"/>
      <c r="I249" s="731"/>
      <c r="J249" s="731"/>
      <c r="K249" s="731"/>
      <c r="L249" s="732"/>
      <c r="M249" s="2"/>
      <c r="O249" s="2" t="str">
        <f>"Account 5 - "&amp;$C226</f>
        <v xml:space="preserve">Account 5 - </v>
      </c>
      <c r="P249" s="2" t="str">
        <f>"Client 5 - "&amp;$C226</f>
        <v xml:space="preserve">Client 5 - </v>
      </c>
    </row>
    <row r="250" spans="2:19" x14ac:dyDescent="0.25">
      <c r="B250" s="816" t="str">
        <f>IF(Intro!$G$21="English",Variables!$B$23,Variables!$C$23)</f>
        <v>MSF</v>
      </c>
      <c r="C250" s="817"/>
      <c r="D250" s="817"/>
      <c r="E250" s="263"/>
      <c r="F250" s="263"/>
      <c r="G250" s="263"/>
      <c r="H250" s="263"/>
      <c r="I250" s="263"/>
      <c r="J250" s="263"/>
      <c r="K250" s="263"/>
      <c r="L250" s="271"/>
      <c r="M250" s="2"/>
    </row>
    <row r="251" spans="2:19" x14ac:dyDescent="0.25">
      <c r="B251" s="816" t="str">
        <f>IF(Intro!G$21="English","net delivered selling value (CAD)","valeur de vente nette rendue (CAD)")</f>
        <v>net delivered selling value (CAD)</v>
      </c>
      <c r="C251" s="829"/>
      <c r="D251" s="829"/>
      <c r="E251" s="263"/>
      <c r="F251" s="263"/>
      <c r="G251" s="263"/>
      <c r="H251" s="263"/>
      <c r="I251" s="263"/>
      <c r="J251" s="263"/>
      <c r="K251" s="263"/>
      <c r="L251" s="271"/>
      <c r="M251" s="2"/>
    </row>
    <row r="252" spans="2:19" x14ac:dyDescent="0.25">
      <c r="B252" s="816" t="str">
        <f>"$ / "&amp;IF(Intro!$G$21="English",Variables!$B$24,Variables!$C$24)</f>
        <v>$ / MSF</v>
      </c>
      <c r="C252" s="829"/>
      <c r="D252" s="829"/>
      <c r="E252" s="568" t="str">
        <f>IF(E250=0,"-",E251/E250)</f>
        <v>-</v>
      </c>
      <c r="F252" s="568" t="str">
        <f t="shared" ref="F252:L252" si="22">IF(F250=0,"-",F251/F250)</f>
        <v>-</v>
      </c>
      <c r="G252" s="568" t="str">
        <f t="shared" si="22"/>
        <v>-</v>
      </c>
      <c r="H252" s="568" t="str">
        <f t="shared" si="22"/>
        <v>-</v>
      </c>
      <c r="I252" s="568" t="str">
        <f t="shared" si="22"/>
        <v>-</v>
      </c>
      <c r="J252" s="568" t="str">
        <f t="shared" si="22"/>
        <v>-</v>
      </c>
      <c r="K252" s="568" t="str">
        <f t="shared" si="22"/>
        <v>-</v>
      </c>
      <c r="L252" s="569" t="str">
        <f t="shared" si="22"/>
        <v>-</v>
      </c>
      <c r="M252" s="2"/>
    </row>
    <row r="253" spans="2:19" x14ac:dyDescent="0.25">
      <c r="B253" s="159"/>
      <c r="C253" s="160"/>
      <c r="D253" s="160"/>
      <c r="E253" s="29"/>
      <c r="F253" s="29"/>
      <c r="G253" s="29"/>
      <c r="H253" s="29"/>
      <c r="I253" s="29"/>
      <c r="J253" s="29"/>
      <c r="K253" s="29"/>
      <c r="L253" s="30"/>
      <c r="M253" s="2"/>
    </row>
    <row r="254" spans="2:19" x14ac:dyDescent="0.25">
      <c r="B254" s="612" t="str">
        <f>IF(Intro!$G$21="English",O254,P254)</f>
        <v>In the table below, “Error” means that the total sales to your firm’s top five accounts for that period exceed your firm’s total domestic sales for that period. Therefore, please modify the above data. The table below compares sum of quarterly sales volume and value to major accounts to the annual domestic sales volume and value (Question 1). For Q2-Q4 2024, the table compares the sum of quarterly sales to the 2024 annual sales.</v>
      </c>
      <c r="C254" s="613"/>
      <c r="D254" s="613"/>
      <c r="E254" s="613"/>
      <c r="F254" s="613"/>
      <c r="G254" s="613"/>
      <c r="H254" s="613"/>
      <c r="I254" s="613"/>
      <c r="J254" s="613"/>
      <c r="K254" s="613"/>
      <c r="L254" s="614"/>
      <c r="M254" s="2"/>
      <c r="O254" s="2" t="s">
        <v>1048</v>
      </c>
      <c r="P254" s="2" t="s">
        <v>1058</v>
      </c>
      <c r="Q254" s="152"/>
      <c r="R254" s="152"/>
      <c r="S254" s="152"/>
    </row>
    <row r="255" spans="2:19" ht="33" customHeight="1" x14ac:dyDescent="0.25">
      <c r="B255" s="612"/>
      <c r="C255" s="613"/>
      <c r="D255" s="613"/>
      <c r="E255" s="613"/>
      <c r="F255" s="613"/>
      <c r="G255" s="613"/>
      <c r="H255" s="613"/>
      <c r="I255" s="613"/>
      <c r="J255" s="613"/>
      <c r="K255" s="613"/>
      <c r="L255" s="614"/>
      <c r="M255" s="2"/>
      <c r="Q255" s="152"/>
      <c r="R255" s="152"/>
      <c r="S255" s="152"/>
    </row>
    <row r="256" spans="2:19" x14ac:dyDescent="0.25">
      <c r="B256" s="159"/>
      <c r="C256" s="160"/>
      <c r="D256" s="160"/>
      <c r="E256" s="29"/>
      <c r="F256" s="29"/>
      <c r="G256" s="29"/>
      <c r="H256" s="29"/>
      <c r="I256" s="29"/>
      <c r="J256" s="2"/>
      <c r="K256" s="29"/>
      <c r="L256" s="30"/>
      <c r="M256" s="2"/>
      <c r="Q256" s="152"/>
      <c r="R256" s="152"/>
      <c r="S256" s="152"/>
    </row>
    <row r="257" spans="1:16" x14ac:dyDescent="0.25">
      <c r="B257" s="896" t="str">
        <f>IF(Intro!$G$21="English",O258,P258)</f>
        <v>Verification - volume</v>
      </c>
      <c r="C257" s="897"/>
      <c r="D257" s="897"/>
      <c r="E257" s="898"/>
      <c r="F257" s="276" t="str">
        <f>IF(Intro!$G$21="English",O257,P257)</f>
        <v>Apr-Dec 2024</v>
      </c>
      <c r="G257" s="276">
        <f>I207</f>
        <v>2025</v>
      </c>
      <c r="H257" s="276" t="str">
        <f>K207</f>
        <v>Jan-Mar 2026</v>
      </c>
      <c r="I257" s="152"/>
      <c r="J257" s="2"/>
      <c r="K257" s="29"/>
      <c r="L257" s="30"/>
      <c r="M257" s="2"/>
      <c r="N257" s="1"/>
      <c r="O257" s="1" t="s">
        <v>864</v>
      </c>
      <c r="P257" s="1" t="s">
        <v>865</v>
      </c>
    </row>
    <row r="258" spans="1:16" ht="14.1" customHeight="1" x14ac:dyDescent="0.25">
      <c r="B258" s="899" t="str">
        <f>IF(Intro!$G$21="English",Variables!$B$23,Variables!$C$23)</f>
        <v>MSF</v>
      </c>
      <c r="C258" s="900"/>
      <c r="D258" s="900"/>
      <c r="E258" s="901"/>
      <c r="F258" s="275" t="str">
        <f>IF(SUM(E234:G234,E238:G238,E242:G242,E246:G246,E250:G250)&gt;SUM(H28,H31,H34),Variables!D62,Variables!D63)</f>
        <v>Okay</v>
      </c>
      <c r="G258" s="275" t="str">
        <f>IF(SUM(G234:J234,G238:J238,G242:J242,G246:J246,G250:J250)&gt;SUM(I28,I31,I34),Variables!D62,Variables!D63)</f>
        <v>Okay</v>
      </c>
      <c r="H258" s="275" t="str">
        <f>IF(SUM(L234,L238,L242,L246,L250)&gt;SUM(K28,K31,K34),Variables!D62,Variables!D63)</f>
        <v>Okay</v>
      </c>
      <c r="I258" s="152"/>
      <c r="J258" s="2"/>
      <c r="K258" s="29"/>
      <c r="L258" s="30"/>
      <c r="M258" s="2"/>
      <c r="O258" s="2" t="s">
        <v>736</v>
      </c>
      <c r="P258" s="2" t="s">
        <v>737</v>
      </c>
    </row>
    <row r="259" spans="1:16" ht="14.1" customHeight="1" x14ac:dyDescent="0.25">
      <c r="B259" s="884" t="str">
        <f>IF(Intro!$G$21="English",O259,P259)</f>
        <v>volume - total domestic sales of domestic production to the top five accounts (Question 14)</v>
      </c>
      <c r="C259" s="885"/>
      <c r="D259" s="885"/>
      <c r="E259" s="886"/>
      <c r="F259" s="855">
        <f>SUM(E234:G234,E238:G238,E242:G242,E246:G246,E250:G250)</f>
        <v>0</v>
      </c>
      <c r="G259" s="855">
        <f>SUM(H234:K234,H238:K238,H242:K242,H246:K246,H250:K250)</f>
        <v>0</v>
      </c>
      <c r="H259" s="855">
        <f>SUM(L234,L238,L242,L246,L250)</f>
        <v>0</v>
      </c>
      <c r="I259" s="152"/>
      <c r="J259" s="2"/>
      <c r="K259" s="29"/>
      <c r="L259" s="30"/>
      <c r="M259" s="2"/>
      <c r="O259" s="2" t="s">
        <v>1049</v>
      </c>
      <c r="P259" s="2" t="s">
        <v>1050</v>
      </c>
    </row>
    <row r="260" spans="1:16" x14ac:dyDescent="0.25">
      <c r="B260" s="887"/>
      <c r="C260" s="888"/>
      <c r="D260" s="888"/>
      <c r="E260" s="889"/>
      <c r="F260" s="855"/>
      <c r="G260" s="855"/>
      <c r="H260" s="855"/>
      <c r="I260" s="152"/>
      <c r="J260" s="2"/>
      <c r="K260" s="29"/>
      <c r="L260" s="30"/>
      <c r="M260" s="2"/>
    </row>
    <row r="261" spans="1:16" ht="14.1" customHeight="1" x14ac:dyDescent="0.25">
      <c r="B261" s="890" t="str">
        <f>IF(Intro!$G$21="English",O261,P261)</f>
        <v>volume - total domestic sales of domestic production 
(Question 1)</v>
      </c>
      <c r="C261" s="891"/>
      <c r="D261" s="891"/>
      <c r="E261" s="892"/>
      <c r="F261" s="855">
        <f>SUM(H28,H31,H34)</f>
        <v>0</v>
      </c>
      <c r="G261" s="855">
        <f>SUM(I28,I31,I34)</f>
        <v>0</v>
      </c>
      <c r="H261" s="855">
        <f>SUM(K28,K31,K34)</f>
        <v>0</v>
      </c>
      <c r="I261" s="152"/>
      <c r="J261" s="2"/>
      <c r="K261" s="29"/>
      <c r="L261" s="30"/>
      <c r="M261" s="2"/>
      <c r="O261" s="171" t="s">
        <v>1063</v>
      </c>
      <c r="P261" s="171" t="s">
        <v>1064</v>
      </c>
    </row>
    <row r="262" spans="1:16" x14ac:dyDescent="0.25">
      <c r="B262" s="902"/>
      <c r="C262" s="903"/>
      <c r="D262" s="903"/>
      <c r="E262" s="904"/>
      <c r="F262" s="855"/>
      <c r="G262" s="855"/>
      <c r="H262" s="855"/>
      <c r="I262" s="152"/>
      <c r="J262" s="2"/>
      <c r="K262" s="29"/>
      <c r="L262" s="30"/>
      <c r="M262" s="2"/>
    </row>
    <row r="263" spans="1:16" x14ac:dyDescent="0.25">
      <c r="B263" s="873" t="str">
        <f>IF(Intro!$G$21="English",O264,P264)</f>
        <v>Verification - value</v>
      </c>
      <c r="C263" s="874"/>
      <c r="D263" s="874"/>
      <c r="E263" s="875"/>
      <c r="F263" s="209" t="str">
        <f>F257</f>
        <v>Apr-Dec 2024</v>
      </c>
      <c r="G263" s="209">
        <f t="shared" ref="G263:H263" si="23">G257</f>
        <v>2025</v>
      </c>
      <c r="H263" s="209" t="str">
        <f t="shared" si="23"/>
        <v>Jan-Mar 2026</v>
      </c>
      <c r="I263" s="152"/>
      <c r="J263" s="2"/>
      <c r="K263" s="29"/>
      <c r="L263" s="30"/>
      <c r="M263" s="2"/>
    </row>
    <row r="264" spans="1:16" ht="14.1" customHeight="1" x14ac:dyDescent="0.25">
      <c r="B264" s="899" t="str">
        <f>IF(Intro!G$21="English","net delivered selling value (CAD)","valeur de vente nette rendue (CAD)")</f>
        <v>net delivered selling value (CAD)</v>
      </c>
      <c r="C264" s="900"/>
      <c r="D264" s="900"/>
      <c r="E264" s="901"/>
      <c r="F264" s="275" t="str">
        <f>IF(SUM(E235:G235,E239:G239,E243:G243,E247:G247,E251:G251)&gt;SUM(H29,H32,H35),Variables!D66,Variables!D67)</f>
        <v>Okay</v>
      </c>
      <c r="G264" s="275" t="str">
        <f>IF(SUM(H235:K235,H239:K239,H243:K243,H247:K247,H251:K251)&gt;SUM(I29,I32,I35),Variables!D66,Variables!D67)</f>
        <v>Okay</v>
      </c>
      <c r="H264" s="275" t="str">
        <f>IF(SUM(L235,L239,L243,L247,L251)&gt;SUM(K29,K32,K35),Variables!D66,Variables!D67)</f>
        <v>Okay</v>
      </c>
      <c r="I264" s="152"/>
      <c r="J264" s="2"/>
      <c r="K264" s="29"/>
      <c r="L264" s="30"/>
      <c r="M264" s="2"/>
      <c r="O264" s="2" t="s">
        <v>738</v>
      </c>
      <c r="P264" s="2" t="s">
        <v>739</v>
      </c>
    </row>
    <row r="265" spans="1:16" ht="14.1" customHeight="1" x14ac:dyDescent="0.25">
      <c r="B265" s="884" t="str">
        <f>IF(Intro!$G$21="English",O265,P265)</f>
        <v>value - total domestic sales of domestic production to the top five accounts (Question 14)</v>
      </c>
      <c r="C265" s="885"/>
      <c r="D265" s="885"/>
      <c r="E265" s="886"/>
      <c r="F265" s="855">
        <f>SUM(E235:G235,E239:G239,E243:G243,E247:G247,E251:G251)</f>
        <v>0</v>
      </c>
      <c r="G265" s="855">
        <f>SUM(H235:K235,H239:K239,H243:K243,H247:K247,H251:K251)</f>
        <v>0</v>
      </c>
      <c r="H265" s="855">
        <f>SUM(L235,L239,L243,L247,L251)</f>
        <v>0</v>
      </c>
      <c r="I265" s="152"/>
      <c r="J265" s="2"/>
      <c r="K265" s="29"/>
      <c r="L265" s="30"/>
      <c r="M265" s="2"/>
      <c r="O265" s="2" t="s">
        <v>1051</v>
      </c>
      <c r="P265" s="2" t="s">
        <v>1052</v>
      </c>
    </row>
    <row r="266" spans="1:16" x14ac:dyDescent="0.25">
      <c r="B266" s="887"/>
      <c r="C266" s="888"/>
      <c r="D266" s="888"/>
      <c r="E266" s="889"/>
      <c r="F266" s="855"/>
      <c r="G266" s="855"/>
      <c r="H266" s="855"/>
      <c r="I266" s="152"/>
      <c r="J266" s="2"/>
      <c r="K266" s="29"/>
      <c r="L266" s="30"/>
      <c r="M266" s="2"/>
    </row>
    <row r="267" spans="1:16" ht="14.1" customHeight="1" x14ac:dyDescent="0.25">
      <c r="B267" s="890" t="str">
        <f>IF(Intro!$G$21="English",O267,P267)</f>
        <v>value - total domestic sales of domestic production (Question 1)</v>
      </c>
      <c r="C267" s="891"/>
      <c r="D267" s="891"/>
      <c r="E267" s="892"/>
      <c r="F267" s="855">
        <f>SUM(H29,H32,H35)</f>
        <v>0</v>
      </c>
      <c r="G267" s="855">
        <f>SUM(I29,I32,I35)</f>
        <v>0</v>
      </c>
      <c r="H267" s="855">
        <f>SUM(K29,K32,K35)</f>
        <v>0</v>
      </c>
      <c r="I267" s="152"/>
      <c r="J267" s="2"/>
      <c r="K267" s="29"/>
      <c r="L267" s="30"/>
      <c r="M267" s="2"/>
      <c r="O267" s="2" t="s">
        <v>1065</v>
      </c>
      <c r="P267" s="2" t="s">
        <v>1066</v>
      </c>
    </row>
    <row r="268" spans="1:16" x14ac:dyDescent="0.25">
      <c r="B268" s="893"/>
      <c r="C268" s="894"/>
      <c r="D268" s="894"/>
      <c r="E268" s="895"/>
      <c r="F268" s="855"/>
      <c r="G268" s="855"/>
      <c r="H268" s="855"/>
      <c r="I268" s="152"/>
      <c r="J268" s="2"/>
      <c r="K268" s="29"/>
      <c r="L268" s="30"/>
      <c r="M268" s="2"/>
    </row>
    <row r="269" spans="1:16" x14ac:dyDescent="0.25">
      <c r="B269" s="176"/>
      <c r="C269" s="177"/>
      <c r="D269" s="177"/>
      <c r="E269" s="177"/>
      <c r="F269" s="177"/>
      <c r="G269" s="177"/>
      <c r="H269" s="177"/>
      <c r="I269" s="177"/>
      <c r="J269" s="177"/>
      <c r="K269" s="177"/>
      <c r="L269" s="178"/>
      <c r="M269" s="2"/>
    </row>
    <row r="270" spans="1:16" s="3" customFormat="1" x14ac:dyDescent="0.25">
      <c r="A270" s="12"/>
      <c r="B270" s="31"/>
      <c r="C270" s="31"/>
      <c r="D270" s="183"/>
      <c r="E270" s="184"/>
      <c r="F270" s="184"/>
      <c r="G270" s="184"/>
      <c r="H270" s="184"/>
      <c r="I270" s="184"/>
      <c r="J270" s="184"/>
      <c r="K270" s="184"/>
      <c r="L270" s="184"/>
      <c r="M270" s="168"/>
    </row>
    <row r="271" spans="1:16" x14ac:dyDescent="0.25">
      <c r="B271" s="618" t="str">
        <f>IF(Intro!$G$21="English",O271,P271)</f>
        <v>SALES IN CANADA OF DOMESTIC PRODUCTION OF BENCHMARK PRODUCTS</v>
      </c>
      <c r="C271" s="619"/>
      <c r="D271" s="619"/>
      <c r="E271" s="619"/>
      <c r="F271" s="619"/>
      <c r="G271" s="619"/>
      <c r="H271" s="619"/>
      <c r="I271" s="619"/>
      <c r="J271" s="619"/>
      <c r="K271" s="619"/>
      <c r="L271" s="620"/>
      <c r="M271" s="2"/>
      <c r="O271" s="2" t="s">
        <v>684</v>
      </c>
      <c r="P271" s="2" t="s">
        <v>685</v>
      </c>
    </row>
    <row r="272" spans="1:16" x14ac:dyDescent="0.25">
      <c r="B272" s="714" t="s">
        <v>294</v>
      </c>
      <c r="C272" s="715"/>
      <c r="D272" s="715"/>
      <c r="E272" s="715"/>
      <c r="F272" s="715"/>
      <c r="G272" s="715"/>
      <c r="H272" s="715"/>
      <c r="I272" s="715"/>
      <c r="J272" s="715"/>
      <c r="K272" s="715"/>
      <c r="L272" s="716"/>
      <c r="M272" s="2"/>
    </row>
    <row r="273" spans="2:16" x14ac:dyDescent="0.25">
      <c r="B273" s="24"/>
      <c r="C273" s="25"/>
      <c r="D273" s="25"/>
      <c r="E273" s="26"/>
      <c r="F273" s="26"/>
      <c r="G273" s="26"/>
      <c r="H273" s="26"/>
      <c r="I273" s="26"/>
      <c r="J273" s="26"/>
      <c r="K273" s="26"/>
      <c r="L273" s="27"/>
      <c r="M273" s="2"/>
    </row>
    <row r="274" spans="2:16" x14ac:dyDescent="0.25">
      <c r="B274" s="612" t="str">
        <f>IF(Intro!$G$21="English",O274,P274)</f>
        <v xml:space="preserve">Report the volume and value of domestic sales from domestic production for each benchmark product listed below: </v>
      </c>
      <c r="C274" s="613"/>
      <c r="D274" s="613"/>
      <c r="E274" s="613"/>
      <c r="F274" s="613"/>
      <c r="G274" s="613"/>
      <c r="H274" s="613"/>
      <c r="I274" s="613"/>
      <c r="J274" s="613"/>
      <c r="K274" s="613"/>
      <c r="L274" s="614"/>
      <c r="M274" s="2"/>
      <c r="O274" s="11" t="s">
        <v>417</v>
      </c>
      <c r="P274" s="2" t="s">
        <v>360</v>
      </c>
    </row>
    <row r="275" spans="2:16" x14ac:dyDescent="0.25">
      <c r="B275" s="159"/>
      <c r="C275" s="160"/>
      <c r="D275" s="25"/>
      <c r="E275" s="26"/>
      <c r="F275" s="26"/>
      <c r="G275" s="26"/>
      <c r="H275" s="26"/>
      <c r="I275" s="26"/>
      <c r="J275" s="26"/>
      <c r="K275" s="26"/>
      <c r="L275" s="27"/>
      <c r="M275" s="2"/>
      <c r="O275" s="11"/>
    </row>
    <row r="276" spans="2:16" x14ac:dyDescent="0.25">
      <c r="B276" s="210"/>
      <c r="C276" s="215"/>
      <c r="D276" s="216"/>
      <c r="E276" s="209" t="str">
        <f>E232</f>
        <v>Q2 - 2024</v>
      </c>
      <c r="F276" s="209" t="str">
        <f t="shared" ref="F276:L276" si="24">F232</f>
        <v>Q3 - 2024</v>
      </c>
      <c r="G276" s="209" t="str">
        <f t="shared" si="24"/>
        <v>Q4 - 2024</v>
      </c>
      <c r="H276" s="209" t="str">
        <f t="shared" si="24"/>
        <v>Q1 - 2025</v>
      </c>
      <c r="I276" s="209" t="str">
        <f t="shared" si="24"/>
        <v>Q2 - 2025</v>
      </c>
      <c r="J276" s="209" t="str">
        <f t="shared" si="24"/>
        <v>Q3 - 2025</v>
      </c>
      <c r="K276" s="209" t="str">
        <f t="shared" si="24"/>
        <v>Q4 - 2025</v>
      </c>
      <c r="L276" s="213" t="str">
        <f t="shared" si="24"/>
        <v>Q1 - 2026</v>
      </c>
      <c r="M276" s="2"/>
      <c r="O276" s="11"/>
    </row>
    <row r="277" spans="2:16" ht="30.75" customHeight="1" x14ac:dyDescent="0.25">
      <c r="B277" s="908" t="str">
        <f>IF(Intro!$G$21="English",O279,P279)</f>
        <v>3/4 in. thickness (actual or nominal, commonly but not exclusively ranging from 18.0 mm to 19.5 mm), panel size ranging from 48 in. x 96 in. to 49.5 in. x97.5 in., birch or maple face, face grade C or D or equivalent, veneer core, rotary spliced or whole piece, unfinished.</v>
      </c>
      <c r="C277" s="909"/>
      <c r="D277" s="909"/>
      <c r="E277" s="909"/>
      <c r="F277" s="909"/>
      <c r="G277" s="909"/>
      <c r="H277" s="909"/>
      <c r="I277" s="909"/>
      <c r="J277" s="909"/>
      <c r="K277" s="909"/>
      <c r="L277" s="910"/>
      <c r="M277" s="2"/>
      <c r="O277" s="11"/>
    </row>
    <row r="278" spans="2:16" ht="0.75" customHeight="1" x14ac:dyDescent="0.25">
      <c r="B278" s="911"/>
      <c r="C278" s="912"/>
      <c r="D278" s="912"/>
      <c r="E278" s="912"/>
      <c r="F278" s="912"/>
      <c r="G278" s="912"/>
      <c r="H278" s="912"/>
      <c r="I278" s="912"/>
      <c r="J278" s="912"/>
      <c r="K278" s="912"/>
      <c r="L278" s="913"/>
      <c r="M278" s="2"/>
      <c r="O278" s="11"/>
    </row>
    <row r="279" spans="2:16" x14ac:dyDescent="0.25">
      <c r="B279" s="816" t="str">
        <f>IF(Intro!$G$21="English",Variables!$B$23,Variables!$C$23)</f>
        <v>MSF</v>
      </c>
      <c r="C279" s="817"/>
      <c r="D279" s="817"/>
      <c r="E279" s="263"/>
      <c r="F279" s="263"/>
      <c r="G279" s="263"/>
      <c r="H279" s="263"/>
      <c r="I279" s="263"/>
      <c r="J279" s="263"/>
      <c r="K279" s="263"/>
      <c r="L279" s="271"/>
      <c r="M279" s="2"/>
      <c r="O279" s="2" t="str">
        <f>Variables!B29</f>
        <v>3/4 in. thickness (actual or nominal, commonly but not exclusively ranging from 18.0 mm to 19.5 mm), panel size ranging from 48 in. x 96 in. to 49.5 in. x97.5 in., birch or maple face, face grade C or D or equivalent, veneer core, rotary spliced or whole piece, unfinished.</v>
      </c>
      <c r="P279" s="2" t="str">
        <f>Variables!C29</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non finie.</v>
      </c>
    </row>
    <row r="280" spans="2:16" x14ac:dyDescent="0.25">
      <c r="B280" s="816" t="str">
        <f>IF(Intro!G$21="English","net delivered selling value (CAD)","valeur de vente nette rendue (CAD)")</f>
        <v>net delivered selling value (CAD)</v>
      </c>
      <c r="C280" s="817"/>
      <c r="D280" s="817"/>
      <c r="E280" s="263"/>
      <c r="F280" s="263"/>
      <c r="G280" s="263"/>
      <c r="H280" s="263"/>
      <c r="I280" s="263"/>
      <c r="J280" s="263"/>
      <c r="K280" s="263"/>
      <c r="L280" s="271"/>
      <c r="M280" s="2"/>
    </row>
    <row r="281" spans="2:16" x14ac:dyDescent="0.25">
      <c r="B281" s="816" t="str">
        <f>"$ / "&amp;IF(Intro!$G$21="English",Variables!$B$24,Variables!$C$24)</f>
        <v>$ / MSF</v>
      </c>
      <c r="C281" s="817"/>
      <c r="D281" s="817"/>
      <c r="E281" s="568" t="str">
        <f>IF(E279=0,"-",E280/E279)</f>
        <v>-</v>
      </c>
      <c r="F281" s="568" t="str">
        <f t="shared" ref="F281:L281" si="25">IF(F279=0,"-",F280/F279)</f>
        <v>-</v>
      </c>
      <c r="G281" s="568" t="str">
        <f t="shared" si="25"/>
        <v>-</v>
      </c>
      <c r="H281" s="568" t="str">
        <f t="shared" si="25"/>
        <v>-</v>
      </c>
      <c r="I281" s="568" t="str">
        <f t="shared" si="25"/>
        <v>-</v>
      </c>
      <c r="J281" s="568" t="str">
        <f t="shared" si="25"/>
        <v>-</v>
      </c>
      <c r="K281" s="568" t="str">
        <f t="shared" si="25"/>
        <v>-</v>
      </c>
      <c r="L281" s="569" t="str">
        <f t="shared" si="25"/>
        <v>-</v>
      </c>
      <c r="M281" s="2"/>
    </row>
    <row r="282" spans="2:16" ht="30.75" customHeight="1" x14ac:dyDescent="0.25">
      <c r="B282" s="816" t="str">
        <f>IF(Intro!$G$21="English",O282,P282)</f>
        <v>Range of thickness of face and back veneers:</v>
      </c>
      <c r="C282" s="817"/>
      <c r="D282" s="817"/>
      <c r="E282" s="818"/>
      <c r="F282" s="819"/>
      <c r="G282" s="819"/>
      <c r="H282" s="819"/>
      <c r="I282" s="819"/>
      <c r="J282" s="819"/>
      <c r="K282" s="819"/>
      <c r="L282" s="819"/>
      <c r="M282" s="2"/>
      <c r="O282" s="2" t="s">
        <v>1017</v>
      </c>
      <c r="P282" s="2" t="s">
        <v>1061</v>
      </c>
    </row>
    <row r="283" spans="2:16" ht="42.75" customHeight="1" x14ac:dyDescent="0.25">
      <c r="B283" s="820" t="str">
        <f>IF(Intro!$G$21="English",O284,P284)</f>
        <v>3/4 in. thickness (actual or nominal, commonly but not exclusively ranging from 18.0 mm to 19.5 mm), panel size ranging from 48 in. x 96 in. to 49.5 in. x 97.5 in., birch or maple face, face grade C or D or equivalent, veneer core, rotary spliced or whole piece, UV coated on 2 sides.</v>
      </c>
      <c r="C283" s="821"/>
      <c r="D283" s="821"/>
      <c r="E283" s="821"/>
      <c r="F283" s="821"/>
      <c r="G283" s="821"/>
      <c r="H283" s="821"/>
      <c r="I283" s="821"/>
      <c r="J283" s="821"/>
      <c r="K283" s="821"/>
      <c r="L283" s="822"/>
      <c r="M283" s="2"/>
    </row>
    <row r="284" spans="2:16" x14ac:dyDescent="0.25">
      <c r="B284" s="816" t="str">
        <f>IF(Intro!$G$21="English",Variables!$B$23,Variables!$C$23)</f>
        <v>MSF</v>
      </c>
      <c r="C284" s="817"/>
      <c r="D284" s="817"/>
      <c r="E284" s="263"/>
      <c r="F284" s="263"/>
      <c r="G284" s="263"/>
      <c r="H284" s="263"/>
      <c r="I284" s="263"/>
      <c r="J284" s="263"/>
      <c r="K284" s="263"/>
      <c r="L284" s="271"/>
      <c r="M284" s="2"/>
      <c r="O284" s="2" t="str">
        <f>Variables!B30</f>
        <v>3/4 in. thickness (actual or nominal, commonly but not exclusively ranging from 18.0 mm to 19.5 mm), panel size ranging from 48 in. x 96 in. to 49.5 in. x 97.5 in., birch or maple face, face grade C or D or equivalent, veneer core, rotary spliced or whole piece, UV coated on 2 sides.</v>
      </c>
      <c r="P284" s="2" t="str">
        <f>Variables!C30</f>
        <v>Épaisseur de 3/4 po (réelle ou nominale, généralement mais pas exclusivement, entre 18,0 mm et 19,5 mm), dimensions des panneaux comprises entre 48 po x 96 po et 49,5 po x 97,5 po, face en bouleau ou en érable, nuance de la couche de face C ou D ou équivalente, âme en placage, coupée et jointée par rotation ou d’une seule pièce, revêtue d’un enduit UV sur deux faces.</v>
      </c>
    </row>
    <row r="285" spans="2:16" x14ac:dyDescent="0.25">
      <c r="B285" s="816" t="str">
        <f>IF(Intro!G$21="English","net delivered selling value (CAD)","valeur de vente nette rendue (CAD)")</f>
        <v>net delivered selling value (CAD)</v>
      </c>
      <c r="C285" s="817"/>
      <c r="D285" s="817"/>
      <c r="E285" s="263"/>
      <c r="F285" s="263"/>
      <c r="G285" s="263"/>
      <c r="H285" s="263"/>
      <c r="I285" s="263"/>
      <c r="J285" s="263"/>
      <c r="K285" s="263"/>
      <c r="L285" s="271"/>
      <c r="M285" s="2"/>
    </row>
    <row r="286" spans="2:16" x14ac:dyDescent="0.25">
      <c r="B286" s="816" t="str">
        <f>"$ / "&amp;IF(Intro!$G$21="English",Variables!$B$24,Variables!$C$24)</f>
        <v>$ / MSF</v>
      </c>
      <c r="C286" s="817"/>
      <c r="D286" s="817"/>
      <c r="E286" s="568" t="str">
        <f t="shared" ref="E286:L286" si="26">IF(E284=0,"-",E285/E284)</f>
        <v>-</v>
      </c>
      <c r="F286" s="568" t="str">
        <f t="shared" si="26"/>
        <v>-</v>
      </c>
      <c r="G286" s="568" t="str">
        <f t="shared" si="26"/>
        <v>-</v>
      </c>
      <c r="H286" s="568" t="str">
        <f t="shared" si="26"/>
        <v>-</v>
      </c>
      <c r="I286" s="568" t="str">
        <f t="shared" si="26"/>
        <v>-</v>
      </c>
      <c r="J286" s="568" t="str">
        <f t="shared" si="26"/>
        <v>-</v>
      </c>
      <c r="K286" s="568" t="str">
        <f t="shared" si="26"/>
        <v>-</v>
      </c>
      <c r="L286" s="569" t="str">
        <f t="shared" si="26"/>
        <v>-</v>
      </c>
      <c r="M286" s="2"/>
    </row>
    <row r="287" spans="2:16" ht="30.75" customHeight="1" x14ac:dyDescent="0.25">
      <c r="B287" s="816" t="str">
        <f>B282</f>
        <v>Range of thickness of face and back veneers:</v>
      </c>
      <c r="C287" s="817"/>
      <c r="D287" s="817"/>
      <c r="E287" s="818"/>
      <c r="F287" s="819"/>
      <c r="G287" s="819"/>
      <c r="H287" s="819"/>
      <c r="I287" s="819"/>
      <c r="J287" s="819"/>
      <c r="K287" s="819"/>
      <c r="L287" s="819"/>
      <c r="M287" s="2"/>
    </row>
    <row r="288" spans="2:16" ht="30.75" customHeight="1" x14ac:dyDescent="0.25">
      <c r="B288" s="820" t="str">
        <f>IF(Intro!$G$21="English",O289,P289)</f>
        <v>3/4 in. thickness (actual or nominal, commonly but not exclusively ranging from 18.0 mm to 19.5 mm), panel size ranging from 48 in. x 96 in. to 49.5 in. x 97.5 in., birch or maple face, face grade A or B or equivalent, veneer core, rotary spliced or whole piece, unfinished.</v>
      </c>
      <c r="C288" s="821"/>
      <c r="D288" s="821"/>
      <c r="E288" s="821"/>
      <c r="F288" s="821"/>
      <c r="G288" s="821"/>
      <c r="H288" s="821"/>
      <c r="I288" s="821"/>
      <c r="J288" s="821"/>
      <c r="K288" s="821"/>
      <c r="L288" s="822"/>
      <c r="M288" s="2"/>
    </row>
    <row r="289" spans="2:16" x14ac:dyDescent="0.25">
      <c r="B289" s="816" t="str">
        <f>IF(Intro!$G$21="English",Variables!$B$23,Variables!$C$23)</f>
        <v>MSF</v>
      </c>
      <c r="C289" s="817"/>
      <c r="D289" s="817"/>
      <c r="E289" s="263"/>
      <c r="F289" s="263"/>
      <c r="G289" s="263"/>
      <c r="H289" s="263"/>
      <c r="I289" s="263"/>
      <c r="J289" s="263"/>
      <c r="K289" s="263"/>
      <c r="L289" s="271"/>
      <c r="M289" s="2"/>
      <c r="O289" s="2" t="str">
        <f>Variables!B31</f>
        <v>3/4 in. thickness (actual or nominal, commonly but not exclusively ranging from 18.0 mm to 19.5 mm), panel size ranging from 48 in. x 96 in. to 49.5 in. x 97.5 in., birch or maple face, face grade A or B or equivalent, veneer core, rotary spliced or whole piece, unfinished.</v>
      </c>
      <c r="P289" s="2" t="str">
        <f>Variables!C31</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non finie.</v>
      </c>
    </row>
    <row r="290" spans="2:16" x14ac:dyDescent="0.25">
      <c r="B290" s="816" t="str">
        <f>IF(Intro!G$21="English","net delivered selling value (CAD)","valeur de vente nette rendue (CAD)")</f>
        <v>net delivered selling value (CAD)</v>
      </c>
      <c r="C290" s="817"/>
      <c r="D290" s="817"/>
      <c r="E290" s="263"/>
      <c r="F290" s="263"/>
      <c r="G290" s="263"/>
      <c r="H290" s="263"/>
      <c r="I290" s="263"/>
      <c r="J290" s="263"/>
      <c r="K290" s="263"/>
      <c r="L290" s="271"/>
      <c r="M290" s="2"/>
    </row>
    <row r="291" spans="2:16" x14ac:dyDescent="0.25">
      <c r="B291" s="816" t="str">
        <f>"$ / "&amp;IF(Intro!$G$21="English",Variables!$B$24,Variables!$C$24)</f>
        <v>$ / MSF</v>
      </c>
      <c r="C291" s="817"/>
      <c r="D291" s="817"/>
      <c r="E291" s="568" t="str">
        <f t="shared" ref="E291:L291" si="27">IF(E289=0,"-",E290/E289)</f>
        <v>-</v>
      </c>
      <c r="F291" s="568" t="str">
        <f t="shared" si="27"/>
        <v>-</v>
      </c>
      <c r="G291" s="568" t="str">
        <f t="shared" si="27"/>
        <v>-</v>
      </c>
      <c r="H291" s="568" t="str">
        <f t="shared" si="27"/>
        <v>-</v>
      </c>
      <c r="I291" s="568" t="str">
        <f t="shared" si="27"/>
        <v>-</v>
      </c>
      <c r="J291" s="568" t="str">
        <f t="shared" si="27"/>
        <v>-</v>
      </c>
      <c r="K291" s="568" t="str">
        <f t="shared" si="27"/>
        <v>-</v>
      </c>
      <c r="L291" s="569" t="str">
        <f t="shared" si="27"/>
        <v>-</v>
      </c>
      <c r="M291" s="2"/>
    </row>
    <row r="292" spans="2:16" ht="30.75" customHeight="1" x14ac:dyDescent="0.25">
      <c r="B292" s="816" t="str">
        <f>B287</f>
        <v>Range of thickness of face and back veneers:</v>
      </c>
      <c r="C292" s="817"/>
      <c r="D292" s="817"/>
      <c r="E292" s="818"/>
      <c r="F292" s="819"/>
      <c r="G292" s="819"/>
      <c r="H292" s="819"/>
      <c r="I292" s="819"/>
      <c r="J292" s="819"/>
      <c r="K292" s="819"/>
      <c r="L292" s="819"/>
      <c r="M292" s="2"/>
    </row>
    <row r="293" spans="2:16" ht="43.5" customHeight="1" x14ac:dyDescent="0.25">
      <c r="B293" s="820" t="str">
        <f>IF(Intro!$G$21="English",O294,P294)</f>
        <v>3/4 in. thickness (actual or nominal, commonly but not exclusively ranging from 18.0 mm to 19.5 mm), panel size ranging from 48 in. x 96 in. to 49.5 in. x 97.5 in., birch or maple face, face grade A or B or equivalent, veneer core, rotary spliced or whole piece, UV coated on 2 sides.</v>
      </c>
      <c r="C293" s="821"/>
      <c r="D293" s="821"/>
      <c r="E293" s="821"/>
      <c r="F293" s="821"/>
      <c r="G293" s="821"/>
      <c r="H293" s="821"/>
      <c r="I293" s="821"/>
      <c r="J293" s="821"/>
      <c r="K293" s="821"/>
      <c r="L293" s="822"/>
      <c r="M293" s="2"/>
    </row>
    <row r="294" spans="2:16" x14ac:dyDescent="0.25">
      <c r="B294" s="816" t="str">
        <f>IF(Intro!$G$21="English",Variables!$B$23,Variables!$C$23)</f>
        <v>MSF</v>
      </c>
      <c r="C294" s="817"/>
      <c r="D294" s="817"/>
      <c r="E294" s="263"/>
      <c r="F294" s="263"/>
      <c r="G294" s="263"/>
      <c r="H294" s="263"/>
      <c r="I294" s="263"/>
      <c r="J294" s="263"/>
      <c r="K294" s="263"/>
      <c r="L294" s="271"/>
      <c r="M294" s="2"/>
      <c r="O294" s="2" t="str">
        <f>Variables!B32</f>
        <v>3/4 in. thickness (actual or nominal, commonly but not exclusively ranging from 18.0 mm to 19.5 mm), panel size ranging from 48 in. x 96 in. to 49.5 in. x 97.5 in., birch or maple face, face grade A or B or equivalent, veneer core, rotary spliced or whole piece, UV coated on 2 sides.</v>
      </c>
      <c r="P294" s="2" t="str">
        <f>Variables!C32</f>
        <v>Épaisseur de 3/4 po (réelle ou nominale, généralement mais pas exclusivement, entre 18,0 mm et 19,5 mm), dimensions des panneaux comprises entre 48 po x 96 po et 49,5 po x 97,5 po, face en bouleau ou en érable, nuance de la couche de face A ou B ou équivalente, âme en placage, coupée et jointée par rotation ou d’une seule pièce, revêtue d’un enduit UV sur deux faces.</v>
      </c>
    </row>
    <row r="295" spans="2:16" x14ac:dyDescent="0.25">
      <c r="B295" s="816" t="str">
        <f>IF(Intro!G$21="English","net delivered selling value (CAD)","valeur de vente nette rendue (CAD)")</f>
        <v>net delivered selling value (CAD)</v>
      </c>
      <c r="C295" s="817"/>
      <c r="D295" s="817"/>
      <c r="E295" s="263"/>
      <c r="F295" s="263"/>
      <c r="G295" s="263"/>
      <c r="H295" s="263"/>
      <c r="I295" s="263"/>
      <c r="J295" s="263"/>
      <c r="K295" s="263"/>
      <c r="L295" s="271"/>
      <c r="M295" s="2"/>
    </row>
    <row r="296" spans="2:16" x14ac:dyDescent="0.25">
      <c r="B296" s="816" t="str">
        <f>"$ / "&amp;IF(Intro!$G$21="English",Variables!$B$24,Variables!$C$24)</f>
        <v>$ / MSF</v>
      </c>
      <c r="C296" s="817"/>
      <c r="D296" s="817"/>
      <c r="E296" s="568" t="str">
        <f t="shared" ref="E296:L296" si="28">IF(E294=0,"-",E295/E294)</f>
        <v>-</v>
      </c>
      <c r="F296" s="568" t="str">
        <f t="shared" si="28"/>
        <v>-</v>
      </c>
      <c r="G296" s="568" t="str">
        <f t="shared" si="28"/>
        <v>-</v>
      </c>
      <c r="H296" s="568" t="str">
        <f t="shared" si="28"/>
        <v>-</v>
      </c>
      <c r="I296" s="568" t="str">
        <f t="shared" si="28"/>
        <v>-</v>
      </c>
      <c r="J296" s="568" t="str">
        <f t="shared" si="28"/>
        <v>-</v>
      </c>
      <c r="K296" s="568" t="str">
        <f t="shared" si="28"/>
        <v>-</v>
      </c>
      <c r="L296" s="569" t="str">
        <f t="shared" si="28"/>
        <v>-</v>
      </c>
      <c r="M296" s="2"/>
    </row>
    <row r="297" spans="2:16" ht="30.75" customHeight="1" x14ac:dyDescent="0.25">
      <c r="B297" s="816" t="str">
        <f>B292</f>
        <v>Range of thickness of face and back veneers:</v>
      </c>
      <c r="C297" s="817"/>
      <c r="D297" s="817"/>
      <c r="E297" s="818"/>
      <c r="F297" s="819"/>
      <c r="G297" s="819"/>
      <c r="H297" s="819"/>
      <c r="I297" s="819"/>
      <c r="J297" s="819"/>
      <c r="K297" s="819"/>
      <c r="L297" s="819"/>
      <c r="M297" s="2"/>
    </row>
    <row r="298" spans="2:16" ht="43.5" customHeight="1" x14ac:dyDescent="0.25">
      <c r="B298" s="820" t="str">
        <f>IF(Intro!$G$21="English",O299,P299)</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C298" s="821"/>
      <c r="D298" s="821"/>
      <c r="E298" s="821"/>
      <c r="F298" s="821"/>
      <c r="G298" s="821"/>
      <c r="H298" s="821"/>
      <c r="I298" s="821"/>
      <c r="J298" s="821"/>
      <c r="K298" s="821"/>
      <c r="L298" s="822"/>
      <c r="M298" s="2"/>
    </row>
    <row r="299" spans="2:16" x14ac:dyDescent="0.25">
      <c r="B299" s="816" t="str">
        <f>IF(Intro!$G$21="English",Variables!$B$23,Variables!$C$23)</f>
        <v>MSF</v>
      </c>
      <c r="C299" s="817"/>
      <c r="D299" s="817"/>
      <c r="E299" s="263"/>
      <c r="F299" s="263"/>
      <c r="G299" s="263"/>
      <c r="H299" s="263"/>
      <c r="I299" s="263"/>
      <c r="J299" s="263"/>
      <c r="K299" s="263"/>
      <c r="L299" s="271"/>
      <c r="M299" s="2"/>
      <c r="O299" s="2" t="str">
        <f>Variables!B33</f>
        <v>3/4 in. thickness (actual or nominal, commonly but not exclusively ranging from 18.0 mm to 19.5 mm), panel size ranging from 48 in. x 96 in. to 49.5 in. x 97.5 in., White Oak or Cherry or Red Oak or Walnut or Maple face, face grade A or B or equivalent, MDF or particleboard core, plain slice or quarter sawn/sliced or rift cut, unfinished.</v>
      </c>
      <c r="P299" s="2" t="str">
        <f>Variables!C33</f>
        <v>Épaisseur de 3/4 po (réelle ou nominale, généralement mais pas exclusivement, entre 18,0 mm et 19,5 mm), dimensions du panneau comprises entre 48 po x 96 po et 49,5 po x 97,5 po, face en chêne blanc, cerisier, chêne rouge, noyer ou érable, nuance de la couche de face A ou B ou équivalente, âme en MDF ou en panneau de particules, coupée plate ou coupée/tranchée sur quartier ou coupée sur faux-quartier, non fini.</v>
      </c>
    </row>
    <row r="300" spans="2:16" x14ac:dyDescent="0.25">
      <c r="B300" s="816" t="str">
        <f>IF(Intro!G$21="English","net delivered selling value (CAD)","valeur de vente nette rendue (CAD)")</f>
        <v>net delivered selling value (CAD)</v>
      </c>
      <c r="C300" s="817"/>
      <c r="D300" s="817"/>
      <c r="E300" s="263"/>
      <c r="F300" s="263"/>
      <c r="G300" s="263"/>
      <c r="H300" s="263"/>
      <c r="I300" s="263"/>
      <c r="J300" s="263"/>
      <c r="K300" s="263"/>
      <c r="L300" s="271"/>
      <c r="M300" s="2"/>
    </row>
    <row r="301" spans="2:16" x14ac:dyDescent="0.25">
      <c r="B301" s="816" t="str">
        <f>"$ / "&amp;IF(Intro!$G$21="English",Variables!$B$24,Variables!$C$24)</f>
        <v>$ / MSF</v>
      </c>
      <c r="C301" s="817"/>
      <c r="D301" s="817"/>
      <c r="E301" s="568" t="str">
        <f t="shared" ref="E301:L301" si="29">IF(E299=0,"-",E300/E299)</f>
        <v>-</v>
      </c>
      <c r="F301" s="568" t="str">
        <f t="shared" si="29"/>
        <v>-</v>
      </c>
      <c r="G301" s="568" t="str">
        <f t="shared" si="29"/>
        <v>-</v>
      </c>
      <c r="H301" s="568" t="str">
        <f t="shared" si="29"/>
        <v>-</v>
      </c>
      <c r="I301" s="568" t="str">
        <f t="shared" si="29"/>
        <v>-</v>
      </c>
      <c r="J301" s="568" t="str">
        <f t="shared" si="29"/>
        <v>-</v>
      </c>
      <c r="K301" s="568" t="str">
        <f t="shared" si="29"/>
        <v>-</v>
      </c>
      <c r="L301" s="569" t="str">
        <f t="shared" si="29"/>
        <v>-</v>
      </c>
      <c r="M301" s="2"/>
    </row>
    <row r="302" spans="2:16" ht="30.75" customHeight="1" x14ac:dyDescent="0.25">
      <c r="B302" s="816" t="str">
        <f>B297</f>
        <v>Range of thickness of face and back veneers:</v>
      </c>
      <c r="C302" s="817"/>
      <c r="D302" s="817"/>
      <c r="E302" s="818"/>
      <c r="F302" s="819"/>
      <c r="G302" s="819"/>
      <c r="H302" s="819"/>
      <c r="I302" s="819"/>
      <c r="J302" s="819"/>
      <c r="K302" s="819"/>
      <c r="L302" s="819"/>
      <c r="M302" s="2"/>
    </row>
    <row r="303" spans="2:16" ht="30.75" customHeight="1" x14ac:dyDescent="0.25">
      <c r="B303" s="820" t="str">
        <f>IF(Intro!$G$21="English",O304,P304)</f>
        <v>1/2 in. thickness (actual or nominal, commonly but not exclusively ranging from 12.0 mm to 12.7 mm), panel size ranging from 48 in. x 96 in. to 49.5 in. x 97.5 in., birch or maple face, face grade C or D or equivalent, veneer core, rotary spliced or whole piece, unfinished.</v>
      </c>
      <c r="C303" s="821"/>
      <c r="D303" s="821"/>
      <c r="E303" s="821"/>
      <c r="F303" s="821"/>
      <c r="G303" s="821"/>
      <c r="H303" s="821"/>
      <c r="I303" s="821"/>
      <c r="J303" s="821"/>
      <c r="K303" s="821"/>
      <c r="L303" s="822"/>
      <c r="M303" s="2"/>
    </row>
    <row r="304" spans="2:16" x14ac:dyDescent="0.25">
      <c r="B304" s="816" t="str">
        <f>IF(Intro!$G$21="English",Variables!$B$23,Variables!$C$23)</f>
        <v>MSF</v>
      </c>
      <c r="C304" s="817"/>
      <c r="D304" s="817"/>
      <c r="E304" s="263"/>
      <c r="F304" s="263"/>
      <c r="G304" s="263"/>
      <c r="H304" s="263"/>
      <c r="I304" s="263"/>
      <c r="J304" s="263"/>
      <c r="K304" s="263"/>
      <c r="L304" s="271"/>
      <c r="M304" s="2"/>
      <c r="O304" s="2" t="str">
        <f>Variables!B34</f>
        <v>1/2 in. thickness (actual or nominal, commonly but not exclusively ranging from 12.0 mm to 12.7 mm), panel size ranging from 48 in. x 96 in. to 49.5 in. x 97.5 in., birch or maple face, face grade C or D or equivalent, veneer core, rotary spliced or whole piece, unfinished.</v>
      </c>
      <c r="P304" s="2" t="str">
        <f>Variables!C34</f>
        <v>Épaisseur de 1/2 po (réelle ou nominale, généralement mais pas exclusivement, entre 12,0 mm et 12,7 mm), dimensions des panneaux comprises entre 48 po x 96 po et 49,5 po x 97,5 po, face en bouleau ou en érable, nuance de la couche de face C ou D ou équivalente, âme en placage, coupée et jointée par rotation ou d’une seule pièce, non finie.</v>
      </c>
    </row>
    <row r="305" spans="2:16" x14ac:dyDescent="0.25">
      <c r="B305" s="816" t="str">
        <f>IF(Intro!G$21="English","net delivered selling value (CAD)","valeur de vente nette rendue (CAD)")</f>
        <v>net delivered selling value (CAD)</v>
      </c>
      <c r="C305" s="817"/>
      <c r="D305" s="817"/>
      <c r="E305" s="263"/>
      <c r="F305" s="263"/>
      <c r="G305" s="263"/>
      <c r="H305" s="263"/>
      <c r="I305" s="263"/>
      <c r="J305" s="263"/>
      <c r="K305" s="263"/>
      <c r="L305" s="271"/>
      <c r="M305" s="2"/>
    </row>
    <row r="306" spans="2:16" x14ac:dyDescent="0.25">
      <c r="B306" s="816" t="str">
        <f>"$ / "&amp;IF(Intro!$G$21="English",Variables!$B$24,Variables!$C$24)</f>
        <v>$ / MSF</v>
      </c>
      <c r="C306" s="817"/>
      <c r="D306" s="817"/>
      <c r="E306" s="568" t="str">
        <f t="shared" ref="E306:L306" si="30">IF(E304=0,"-",E305/E304)</f>
        <v>-</v>
      </c>
      <c r="F306" s="568" t="str">
        <f t="shared" si="30"/>
        <v>-</v>
      </c>
      <c r="G306" s="568" t="str">
        <f t="shared" si="30"/>
        <v>-</v>
      </c>
      <c r="H306" s="568" t="str">
        <f t="shared" si="30"/>
        <v>-</v>
      </c>
      <c r="I306" s="568" t="str">
        <f t="shared" si="30"/>
        <v>-</v>
      </c>
      <c r="J306" s="568" t="str">
        <f t="shared" si="30"/>
        <v>-</v>
      </c>
      <c r="K306" s="568" t="str">
        <f t="shared" si="30"/>
        <v>-</v>
      </c>
      <c r="L306" s="569" t="str">
        <f t="shared" si="30"/>
        <v>-</v>
      </c>
      <c r="M306" s="2"/>
    </row>
    <row r="307" spans="2:16" ht="30.75" customHeight="1" x14ac:dyDescent="0.25">
      <c r="B307" s="816" t="str">
        <f>B302</f>
        <v>Range of thickness of face and back veneers:</v>
      </c>
      <c r="C307" s="817"/>
      <c r="D307" s="817"/>
      <c r="E307" s="818"/>
      <c r="F307" s="819"/>
      <c r="G307" s="819"/>
      <c r="H307" s="819"/>
      <c r="I307" s="819"/>
      <c r="J307" s="819"/>
      <c r="K307" s="819"/>
      <c r="L307" s="819"/>
      <c r="M307" s="2"/>
    </row>
    <row r="308" spans="2:16" ht="30.75" customHeight="1" x14ac:dyDescent="0.25">
      <c r="B308" s="820" t="str">
        <f>IF(Intro!$G$21="English",O309,P309)</f>
        <v>1/2 in. thickness (actual or nominal, commonly but not exclusively ranging from 12.0 mm to 12.7 mm), panel size ranging from 48 in. x 96 in. to 49.5 in. x 97.5 in., birch or maple face, face grade A or B or equivalent, veneer core, rotary spliced or whole piece, unfinished.</v>
      </c>
      <c r="C308" s="821"/>
      <c r="D308" s="821"/>
      <c r="E308" s="821"/>
      <c r="F308" s="821"/>
      <c r="G308" s="821"/>
      <c r="H308" s="821"/>
      <c r="I308" s="821"/>
      <c r="J308" s="821"/>
      <c r="K308" s="821"/>
      <c r="L308" s="822"/>
      <c r="M308" s="2"/>
    </row>
    <row r="309" spans="2:16" x14ac:dyDescent="0.25">
      <c r="B309" s="816" t="str">
        <f>IF(Intro!$G$21="English",Variables!$B$23,Variables!$C$23)</f>
        <v>MSF</v>
      </c>
      <c r="C309" s="817"/>
      <c r="D309" s="817"/>
      <c r="E309" s="263"/>
      <c r="F309" s="263"/>
      <c r="G309" s="263"/>
      <c r="H309" s="263"/>
      <c r="I309" s="263"/>
      <c r="J309" s="263"/>
      <c r="K309" s="263"/>
      <c r="L309" s="271"/>
      <c r="M309" s="2"/>
      <c r="O309" s="2" t="str">
        <f>Variables!B35</f>
        <v>1/2 in. thickness (actual or nominal, commonly but not exclusively ranging from 12.0 mm to 12.7 mm), panel size ranging from 48 in. x 96 in. to 49.5 in. x 97.5 in., birch or maple face, face grade A or B or equivalent, veneer core, rotary spliced or whole piece, unfinished.</v>
      </c>
      <c r="P309" s="2" t="str">
        <f>Variables!C35</f>
        <v>Épaisseur de 1/2 po (réelle ou nominale, généralement mais pas exclusivement, entre 12,0 mm et 12,7 mm), dimensions des panneaux comprises entre 48 po x 96 po et 49,5 po x 97,5 po, face en bouleau ou en érable, nuance de la couche de face A ou B ou équivalente, âme en placage, coupée et jointée par rotation ou d’une seule pièce, non finie.</v>
      </c>
    </row>
    <row r="310" spans="2:16" x14ac:dyDescent="0.25">
      <c r="B310" s="816" t="str">
        <f>IF(Intro!G$21="English","net delivered selling value (CAD)","valeur de vente nette rendue (CAD)")</f>
        <v>net delivered selling value (CAD)</v>
      </c>
      <c r="C310" s="817"/>
      <c r="D310" s="817"/>
      <c r="E310" s="263"/>
      <c r="F310" s="263"/>
      <c r="G310" s="263"/>
      <c r="H310" s="263"/>
      <c r="I310" s="263"/>
      <c r="J310" s="263"/>
      <c r="K310" s="263"/>
      <c r="L310" s="271"/>
      <c r="M310" s="2"/>
    </row>
    <row r="311" spans="2:16" x14ac:dyDescent="0.25">
      <c r="B311" s="816" t="str">
        <f>"$ / "&amp;IF(Intro!$G$21="English",Variables!$B$24,Variables!$C$24)</f>
        <v>$ / MSF</v>
      </c>
      <c r="C311" s="817"/>
      <c r="D311" s="817"/>
      <c r="E311" s="568" t="str">
        <f t="shared" ref="E311:L311" si="31">IF(E309=0,"-",E310/E309)</f>
        <v>-</v>
      </c>
      <c r="F311" s="568" t="str">
        <f t="shared" si="31"/>
        <v>-</v>
      </c>
      <c r="G311" s="568" t="str">
        <f t="shared" si="31"/>
        <v>-</v>
      </c>
      <c r="H311" s="568" t="str">
        <f t="shared" si="31"/>
        <v>-</v>
      </c>
      <c r="I311" s="568" t="str">
        <f t="shared" si="31"/>
        <v>-</v>
      </c>
      <c r="J311" s="568" t="str">
        <f t="shared" si="31"/>
        <v>-</v>
      </c>
      <c r="K311" s="568" t="str">
        <f t="shared" si="31"/>
        <v>-</v>
      </c>
      <c r="L311" s="569" t="str">
        <f t="shared" si="31"/>
        <v>-</v>
      </c>
      <c r="M311" s="2"/>
    </row>
    <row r="312" spans="2:16" ht="30.75" customHeight="1" x14ac:dyDescent="0.25">
      <c r="B312" s="816" t="str">
        <f>B307</f>
        <v>Range of thickness of face and back veneers:</v>
      </c>
      <c r="C312" s="817"/>
      <c r="D312" s="817"/>
      <c r="E312" s="818"/>
      <c r="F312" s="819"/>
      <c r="G312" s="819"/>
      <c r="H312" s="819"/>
      <c r="I312" s="819"/>
      <c r="J312" s="819"/>
      <c r="K312" s="819"/>
      <c r="L312" s="819"/>
      <c r="M312" s="2"/>
    </row>
    <row r="313" spans="2:16" ht="45" customHeight="1" x14ac:dyDescent="0.25">
      <c r="B313" s="820" t="str">
        <f>IF(Intro!$G$21="English",O314,P314)</f>
        <v>5/8 in. thickness (actual or nominal, commonly but not exclusively ranging from 15.0 mm to 15.9 mm), panel size ranging from 48 in. x 96 in. to 49.5 in. x 97.5 in., birch or maple face, face grade C or D or equivalent, veneer core, rotary spliced or whole piece, UV coated on 2 sides.</v>
      </c>
      <c r="C313" s="821"/>
      <c r="D313" s="821"/>
      <c r="E313" s="821"/>
      <c r="F313" s="821"/>
      <c r="G313" s="821"/>
      <c r="H313" s="821"/>
      <c r="I313" s="821"/>
      <c r="J313" s="821"/>
      <c r="K313" s="821"/>
      <c r="L313" s="822"/>
      <c r="M313" s="2"/>
    </row>
    <row r="314" spans="2:16" x14ac:dyDescent="0.25">
      <c r="B314" s="816" t="str">
        <f>IF(Intro!$G$21="English",Variables!$B$23,Variables!$C$23)</f>
        <v>MSF</v>
      </c>
      <c r="C314" s="817"/>
      <c r="D314" s="817"/>
      <c r="E314" s="263"/>
      <c r="F314" s="263"/>
      <c r="G314" s="263"/>
      <c r="H314" s="263"/>
      <c r="I314" s="263"/>
      <c r="J314" s="263"/>
      <c r="K314" s="263"/>
      <c r="L314" s="271"/>
      <c r="M314" s="2"/>
      <c r="O314" s="2" t="str">
        <f>Variables!B36</f>
        <v>5/8 in. thickness (actual or nominal, commonly but not exclusively ranging from 15.0 mm to 15.9 mm), panel size ranging from 48 in. x 96 in. to 49.5 in. x 97.5 in., birch or maple face, face grade C or D or equivalent, veneer core, rotary spliced or whole piece, UV coated on 2 sides.</v>
      </c>
      <c r="P314" s="2" t="str">
        <f>Variables!C36</f>
        <v>Épaisseur de 5/8 po (réelle ou nominale, généralement mais pas exclusivement, entre 15,0 mm et 15,9 mm), dimensions des panneaux comprises entre 48 po x 96 po et 49,5 po x 97,5 po, face en bouleau ou en érable, nuance de la couche de face C ou D ou équivalente, âme en placage, coupée et jointée par rotation ou d’une seule pièce, revêtue d’un enduit UV sur deux faces.</v>
      </c>
    </row>
    <row r="315" spans="2:16" x14ac:dyDescent="0.25">
      <c r="B315" s="816" t="str">
        <f>IF(Intro!G$21="English","net delivered selling value (CAD)","valeur de vente nette rendue (CAD)")</f>
        <v>net delivered selling value (CAD)</v>
      </c>
      <c r="C315" s="817"/>
      <c r="D315" s="817"/>
      <c r="E315" s="263"/>
      <c r="F315" s="263"/>
      <c r="G315" s="263"/>
      <c r="H315" s="263"/>
      <c r="I315" s="263"/>
      <c r="J315" s="263"/>
      <c r="K315" s="263"/>
      <c r="L315" s="271"/>
      <c r="M315" s="2"/>
    </row>
    <row r="316" spans="2:16" x14ac:dyDescent="0.25">
      <c r="B316" s="816" t="str">
        <f>"$ / "&amp;IF(Intro!$G$21="English",Variables!$B$24,Variables!$C$24)</f>
        <v>$ / MSF</v>
      </c>
      <c r="C316" s="817"/>
      <c r="D316" s="817"/>
      <c r="E316" s="568" t="str">
        <f t="shared" ref="E316:L316" si="32">IF(E314=0,"-",E315/E314)</f>
        <v>-</v>
      </c>
      <c r="F316" s="568" t="str">
        <f t="shared" si="32"/>
        <v>-</v>
      </c>
      <c r="G316" s="568" t="str">
        <f t="shared" si="32"/>
        <v>-</v>
      </c>
      <c r="H316" s="568" t="str">
        <f t="shared" si="32"/>
        <v>-</v>
      </c>
      <c r="I316" s="568" t="str">
        <f t="shared" si="32"/>
        <v>-</v>
      </c>
      <c r="J316" s="568" t="str">
        <f t="shared" si="32"/>
        <v>-</v>
      </c>
      <c r="K316" s="568" t="str">
        <f t="shared" si="32"/>
        <v>-</v>
      </c>
      <c r="L316" s="569" t="str">
        <f t="shared" si="32"/>
        <v>-</v>
      </c>
      <c r="M316" s="2"/>
    </row>
    <row r="317" spans="2:16" ht="30.75" customHeight="1" x14ac:dyDescent="0.25">
      <c r="B317" s="816" t="str">
        <f>B312</f>
        <v>Range of thickness of face and back veneers:</v>
      </c>
      <c r="C317" s="817"/>
      <c r="D317" s="817"/>
      <c r="E317" s="818"/>
      <c r="F317" s="819"/>
      <c r="G317" s="819"/>
      <c r="H317" s="819"/>
      <c r="I317" s="819"/>
      <c r="J317" s="819"/>
      <c r="K317" s="819"/>
      <c r="L317" s="819"/>
      <c r="M317" s="2"/>
    </row>
    <row r="318" spans="2:16" ht="30.75" customHeight="1" x14ac:dyDescent="0.25">
      <c r="B318" s="820" t="str">
        <f>IF(Intro!$G$21="English",O319,P319)</f>
        <v>1/4 in. thickness (actual or nominal, commonly but not exclusively ranging from 4.7 mm to 6.4 mm), panel size ranging from 48 in. x 96 in. to 49.5 in. x 97.5 in., birch or maple face, face grade C or D or equivalent, veneer core, rotary spliced or whole piece, unfinished.</v>
      </c>
      <c r="C318" s="821"/>
      <c r="D318" s="821"/>
      <c r="E318" s="821"/>
      <c r="F318" s="821"/>
      <c r="G318" s="821"/>
      <c r="H318" s="821"/>
      <c r="I318" s="821"/>
      <c r="J318" s="821"/>
      <c r="K318" s="821"/>
      <c r="L318" s="822"/>
      <c r="M318" s="2"/>
    </row>
    <row r="319" spans="2:16" x14ac:dyDescent="0.25">
      <c r="B319" s="816" t="str">
        <f>IF(Intro!$G$21="English",Variables!$B$23,Variables!$C$23)</f>
        <v>MSF</v>
      </c>
      <c r="C319" s="817"/>
      <c r="D319" s="817"/>
      <c r="E319" s="263"/>
      <c r="F319" s="263"/>
      <c r="G319" s="263"/>
      <c r="H319" s="263"/>
      <c r="I319" s="263"/>
      <c r="J319" s="263"/>
      <c r="K319" s="263"/>
      <c r="L319" s="271"/>
      <c r="M319" s="2"/>
      <c r="O319" s="2" t="str">
        <f>Variables!B37</f>
        <v>1/4 in. thickness (actual or nominal, commonly but not exclusively ranging from 4.7 mm to 6.4 mm), panel size ranging from 48 in. x 96 in. to 49.5 in. x 97.5 in., birch or maple face, face grade C or D or equivalent, veneer core, rotary spliced or whole piece, unfinished.</v>
      </c>
      <c r="P319" s="2" t="str">
        <f>Variables!C37</f>
        <v>Épaisseur de 1/4 po (réelle ou nominale, généralement mais pas exclusivement, entre 4,7 mm et 6,4 mm), dimensions des panneaux comprises entre 48 po x 96 po et 49,5 po x 97,5 po, face en bouleau ou en érable, nuance de la couche de face C ou D ou équivalente, âme en placage, coupée et jointée par rotation ou d’une seule pièce, non finie.</v>
      </c>
    </row>
    <row r="320" spans="2:16" x14ac:dyDescent="0.25">
      <c r="B320" s="816" t="str">
        <f>IF(Intro!G$21="English","net delivered selling value (CAD)","valeur de vente nette rendue (CAD)")</f>
        <v>net delivered selling value (CAD)</v>
      </c>
      <c r="C320" s="817"/>
      <c r="D320" s="817"/>
      <c r="E320" s="263"/>
      <c r="F320" s="263"/>
      <c r="G320" s="263"/>
      <c r="H320" s="263"/>
      <c r="I320" s="263"/>
      <c r="J320" s="263"/>
      <c r="K320" s="263"/>
      <c r="L320" s="271"/>
      <c r="M320" s="2"/>
    </row>
    <row r="321" spans="2:19" x14ac:dyDescent="0.25">
      <c r="B321" s="816" t="str">
        <f>"$ / "&amp;IF(Intro!$G$21="English",Variables!$B$24,Variables!$C$24)</f>
        <v>$ / MSF</v>
      </c>
      <c r="C321" s="817"/>
      <c r="D321" s="817"/>
      <c r="E321" s="568" t="str">
        <f t="shared" ref="E321:L321" si="33">IF(E319=0,"-",E320/E319)</f>
        <v>-</v>
      </c>
      <c r="F321" s="568" t="str">
        <f t="shared" si="33"/>
        <v>-</v>
      </c>
      <c r="G321" s="568" t="str">
        <f t="shared" si="33"/>
        <v>-</v>
      </c>
      <c r="H321" s="568" t="str">
        <f t="shared" si="33"/>
        <v>-</v>
      </c>
      <c r="I321" s="568" t="str">
        <f t="shared" si="33"/>
        <v>-</v>
      </c>
      <c r="J321" s="568" t="str">
        <f t="shared" si="33"/>
        <v>-</v>
      </c>
      <c r="K321" s="568" t="str">
        <f t="shared" si="33"/>
        <v>-</v>
      </c>
      <c r="L321" s="569" t="str">
        <f t="shared" si="33"/>
        <v>-</v>
      </c>
      <c r="M321" s="2"/>
    </row>
    <row r="322" spans="2:19" ht="31.5" customHeight="1" x14ac:dyDescent="0.25">
      <c r="B322" s="816" t="str">
        <f>B317</f>
        <v>Range of thickness of face and back veneers:</v>
      </c>
      <c r="C322" s="817"/>
      <c r="D322" s="817"/>
      <c r="E322" s="818"/>
      <c r="F322" s="819"/>
      <c r="G322" s="819"/>
      <c r="H322" s="819"/>
      <c r="I322" s="819"/>
      <c r="J322" s="819"/>
      <c r="K322" s="819"/>
      <c r="L322" s="819"/>
      <c r="M322" s="2"/>
    </row>
    <row r="323" spans="2:19" x14ac:dyDescent="0.25">
      <c r="B323" s="878" t="str">
        <f>IF(Intro!$G$21="English",O323,P323)</f>
        <v>In the table below, “Error” means that the total sales to your firm's benchmark products exceed your firm's total domestic sales for that period. Therefore, please modify the above data.The table below compares sum of quarterly sales volume and value of benchmark products (Question 15) to the annual domestic sales volume and value (Question 1). For Q2-Q4 2024, the table compares the sum of quarterly sales to the 2024 annual sales.</v>
      </c>
      <c r="C323" s="879"/>
      <c r="D323" s="879"/>
      <c r="E323" s="879"/>
      <c r="F323" s="879"/>
      <c r="G323" s="879"/>
      <c r="H323" s="879"/>
      <c r="I323" s="879"/>
      <c r="J323" s="879"/>
      <c r="K323" s="879"/>
      <c r="L323" s="880"/>
      <c r="M323" s="2"/>
      <c r="O323" s="2" t="s">
        <v>1053</v>
      </c>
      <c r="P323" s="2" t="s">
        <v>1062</v>
      </c>
      <c r="Q323" s="152"/>
      <c r="R323" s="152"/>
      <c r="S323" s="152"/>
    </row>
    <row r="324" spans="2:19" ht="33.75" customHeight="1" x14ac:dyDescent="0.25">
      <c r="B324" s="878"/>
      <c r="C324" s="879"/>
      <c r="D324" s="879"/>
      <c r="E324" s="879"/>
      <c r="F324" s="879"/>
      <c r="G324" s="879"/>
      <c r="H324" s="879"/>
      <c r="I324" s="879"/>
      <c r="J324" s="879"/>
      <c r="K324" s="879"/>
      <c r="L324" s="880"/>
      <c r="M324" s="2"/>
      <c r="Q324" s="152"/>
      <c r="R324" s="152"/>
      <c r="S324" s="152"/>
    </row>
    <row r="325" spans="2:19" x14ac:dyDescent="0.25">
      <c r="B325" s="159"/>
      <c r="C325" s="160"/>
      <c r="D325" s="160"/>
      <c r="E325" s="29"/>
      <c r="F325" s="29"/>
      <c r="G325" s="29"/>
      <c r="H325" s="29"/>
      <c r="I325" s="29"/>
      <c r="J325" s="29"/>
      <c r="K325" s="29"/>
      <c r="L325" s="30"/>
      <c r="M325" s="2"/>
      <c r="Q325" s="152"/>
      <c r="R325" s="152"/>
      <c r="S325" s="152"/>
    </row>
    <row r="326" spans="2:19" x14ac:dyDescent="0.25">
      <c r="B326" s="905" t="str">
        <f>B257</f>
        <v>Verification - volume</v>
      </c>
      <c r="C326" s="906"/>
      <c r="D326" s="906"/>
      <c r="E326" s="907"/>
      <c r="F326" s="277" t="str">
        <f>F257</f>
        <v>Apr-Dec 2024</v>
      </c>
      <c r="G326" s="277">
        <f>G257</f>
        <v>2025</v>
      </c>
      <c r="H326" s="277" t="str">
        <f>H257</f>
        <v>Jan-Mar 2026</v>
      </c>
      <c r="I326" s="29"/>
      <c r="J326" s="29"/>
      <c r="K326" s="29"/>
      <c r="L326" s="30"/>
      <c r="M326" s="2"/>
      <c r="N326" s="1"/>
    </row>
    <row r="327" spans="2:19" ht="14.1" customHeight="1" x14ac:dyDescent="0.25">
      <c r="B327" s="881" t="str">
        <f>IF(Intro!$G$21="English",Variables!$B$23,Variables!$C$23)</f>
        <v>MSF</v>
      </c>
      <c r="C327" s="882"/>
      <c r="D327" s="882"/>
      <c r="E327" s="883"/>
      <c r="F327" s="275" t="str">
        <f>IF(SUM(E279:G279,E284:G284,E289:G289,E294:G294,E299:G299,E304:G304,E309:G309,E314:G314)&gt;SUM(H28,H31,H34),Variables!D62,Variables!D63)</f>
        <v>Okay</v>
      </c>
      <c r="G327" s="275" t="str">
        <f>IF(SUM(H279:K279,H284:K284,H289:K289,H294:K294,H299:K299,H304:K304,H309:K309,H314:K314)&gt;SUM(I28,I31,I34),Variables!D62,Variables!D63)</f>
        <v>Okay</v>
      </c>
      <c r="H327" s="275" t="str">
        <f>IF(SUM(L279,L284,L289,L294,L299,L304,L309,L314)&gt;SUM(K28,K31,K34),Variables!D62,Variables!D63)</f>
        <v>Okay</v>
      </c>
      <c r="I327" s="29"/>
      <c r="J327" s="29"/>
      <c r="K327" s="29"/>
      <c r="L327" s="30"/>
      <c r="M327" s="2"/>
    </row>
    <row r="328" spans="2:19" ht="14.1" customHeight="1" x14ac:dyDescent="0.25">
      <c r="B328" s="884" t="str">
        <f>IF(Intro!$G$21="English",O328,P328)</f>
        <v>volume - total domestic sales of domestic production of benchmark products (Question 15)</v>
      </c>
      <c r="C328" s="885"/>
      <c r="D328" s="885"/>
      <c r="E328" s="886"/>
      <c r="F328" s="876">
        <f>SUM(E279:G279,E284:G284,E289:G289,E294:G294,E299:G299,E304:G304,E309:G309,E314:G314,E319:G319)</f>
        <v>0</v>
      </c>
      <c r="G328" s="876">
        <f>SUM(H279:K279,H284:K284,H289:K289,H294:K294,H299:K299,H304:K304,H309:K309,H314:K314,H319:K319)</f>
        <v>0</v>
      </c>
      <c r="H328" s="876">
        <f>SUM(L279,L284,L289,L294,L299,L304,L309,L314,L319)</f>
        <v>0</v>
      </c>
      <c r="I328" s="29"/>
      <c r="J328" s="29"/>
      <c r="K328" s="29"/>
      <c r="L328" s="30"/>
      <c r="M328" s="2"/>
      <c r="O328" s="2" t="s">
        <v>1054</v>
      </c>
      <c r="P328" s="2" t="s">
        <v>1055</v>
      </c>
    </row>
    <row r="329" spans="2:19" x14ac:dyDescent="0.25">
      <c r="B329" s="887"/>
      <c r="C329" s="888"/>
      <c r="D329" s="888"/>
      <c r="E329" s="889"/>
      <c r="F329" s="877"/>
      <c r="G329" s="877"/>
      <c r="H329" s="877"/>
      <c r="I329" s="29"/>
      <c r="J329" s="29"/>
      <c r="K329" s="29"/>
      <c r="L329" s="30"/>
      <c r="M329" s="2"/>
    </row>
    <row r="330" spans="2:19" ht="14.1" customHeight="1" x14ac:dyDescent="0.25">
      <c r="B330" s="890" t="str">
        <f>IF(Intro!$G$21="English",O330,P330)</f>
        <v>volume - total domestic sales of domestic production 
(Question 1, 2024)</v>
      </c>
      <c r="C330" s="891"/>
      <c r="D330" s="891"/>
      <c r="E330" s="892"/>
      <c r="F330" s="876">
        <f>SUM(H28,H31,H34)</f>
        <v>0</v>
      </c>
      <c r="G330" s="876">
        <f>SUM(I28,I31,I34)</f>
        <v>0</v>
      </c>
      <c r="H330" s="876">
        <f>SUM(K28,K31,K34)</f>
        <v>0</v>
      </c>
      <c r="I330" s="29"/>
      <c r="J330" s="29"/>
      <c r="K330" s="29"/>
      <c r="L330" s="30"/>
      <c r="M330" s="2"/>
      <c r="O330" s="171" t="s">
        <v>885</v>
      </c>
      <c r="P330" s="171" t="s">
        <v>886</v>
      </c>
    </row>
    <row r="331" spans="2:19" x14ac:dyDescent="0.25">
      <c r="B331" s="902"/>
      <c r="C331" s="903"/>
      <c r="D331" s="903"/>
      <c r="E331" s="904"/>
      <c r="F331" s="877"/>
      <c r="G331" s="877"/>
      <c r="H331" s="877"/>
      <c r="I331" s="29"/>
      <c r="J331" s="29"/>
      <c r="K331" s="29"/>
      <c r="L331" s="30"/>
      <c r="M331" s="2"/>
    </row>
    <row r="332" spans="2:19" x14ac:dyDescent="0.25">
      <c r="B332" s="873" t="str">
        <f>B263</f>
        <v>Verification - value</v>
      </c>
      <c r="C332" s="874"/>
      <c r="D332" s="874"/>
      <c r="E332" s="875"/>
      <c r="F332" s="209" t="str">
        <f>F326</f>
        <v>Apr-Dec 2024</v>
      </c>
      <c r="G332" s="209">
        <f t="shared" ref="G332:H332" si="34">G326</f>
        <v>2025</v>
      </c>
      <c r="H332" s="209" t="str">
        <f t="shared" si="34"/>
        <v>Jan-Mar 2026</v>
      </c>
      <c r="I332" s="29"/>
      <c r="J332" s="29"/>
      <c r="K332" s="29"/>
      <c r="L332" s="30"/>
      <c r="M332" s="2"/>
    </row>
    <row r="333" spans="2:19" ht="14.1" customHeight="1" x14ac:dyDescent="0.25">
      <c r="B333" s="881" t="str">
        <f>IF(Intro!G$21="English","net delivered selling value (CAD)","valeur de vente nette rendue (CAD)")</f>
        <v>net delivered selling value (CAD)</v>
      </c>
      <c r="C333" s="882"/>
      <c r="D333" s="882"/>
      <c r="E333" s="883"/>
      <c r="F333" s="275" t="str">
        <f>IF(SUM(E280:G280,E285:G285,E290:G290,E295:G295,E300:G300,E305:G305,E310:G310,E315:G315)&gt;SUM(H29,H32,H35),Variables!D66,Variables!D67)</f>
        <v>Okay</v>
      </c>
      <c r="G333" s="275" t="str">
        <f>IF(SUM(H280:K280,H285:K285,H290:K290,H295:K295,H300:K300,H305:K305,H310:K310,H315:K315)&gt;SUM(I29,I32,I35),Variables!D66,Variables!D67)</f>
        <v>Okay</v>
      </c>
      <c r="H333" s="275" t="str">
        <f>IF(SUM(L280,L285,L290,L295,L300,L305,L310,L315)&gt;SUM(K29,K32,K35),Variables!D66,Variables!D67)</f>
        <v>Okay</v>
      </c>
      <c r="I333" s="29"/>
      <c r="J333" s="29"/>
      <c r="K333" s="29"/>
      <c r="L333" s="30"/>
      <c r="M333" s="2"/>
    </row>
    <row r="334" spans="2:19" ht="14.1" customHeight="1" x14ac:dyDescent="0.25">
      <c r="B334" s="884" t="str">
        <f>IF(Intro!$G$21="English",O334,P334)</f>
        <v>valeur - total domestic sales of domestic production of benchmark products (Question 15)</v>
      </c>
      <c r="C334" s="885"/>
      <c r="D334" s="885"/>
      <c r="E334" s="886"/>
      <c r="F334" s="855">
        <f>SUM(E280:G280,E285:G285,E290:G290,E295:G295,E300:G300,E305:G305,E310:G310,E315:G315,E320:G320)</f>
        <v>0</v>
      </c>
      <c r="G334" s="855">
        <f>SUM(H280:K280,H285:K285,H290:K290,H295:K295,H300:K300,H305:K305,H310:K310,H315:K315,H320:K320)</f>
        <v>0</v>
      </c>
      <c r="H334" s="855">
        <f>SUM(L280,L285,L290,L295,L300,L305,L310,L315,L320)</f>
        <v>0</v>
      </c>
      <c r="I334" s="29"/>
      <c r="J334" s="29"/>
      <c r="K334" s="29"/>
      <c r="L334" s="30"/>
      <c r="M334" s="2"/>
      <c r="O334" s="2" t="s">
        <v>1056</v>
      </c>
      <c r="P334" s="2" t="s">
        <v>1057</v>
      </c>
    </row>
    <row r="335" spans="2:19" x14ac:dyDescent="0.25">
      <c r="B335" s="887"/>
      <c r="C335" s="888"/>
      <c r="D335" s="888"/>
      <c r="E335" s="889"/>
      <c r="F335" s="855"/>
      <c r="G335" s="855"/>
      <c r="H335" s="855"/>
      <c r="I335" s="29"/>
      <c r="J335" s="29"/>
      <c r="K335" s="29"/>
      <c r="L335" s="30"/>
      <c r="M335" s="2"/>
    </row>
    <row r="336" spans="2:19" ht="14.1" customHeight="1" x14ac:dyDescent="0.25">
      <c r="B336" s="890" t="str">
        <f>IF(Intro!$G$21="English",O336,P336)</f>
        <v>valeur - total domestic sales of domestic production (Question 1, 2024)</v>
      </c>
      <c r="C336" s="891"/>
      <c r="D336" s="891"/>
      <c r="E336" s="892"/>
      <c r="F336" s="855">
        <f>SUM(H29,H32,H35)</f>
        <v>0</v>
      </c>
      <c r="G336" s="855">
        <f>SUM(I29,I32,I35)</f>
        <v>0</v>
      </c>
      <c r="H336" s="855">
        <f>SUM(K29,K32,K35)</f>
        <v>0</v>
      </c>
      <c r="I336" s="29"/>
      <c r="J336" s="29"/>
      <c r="K336" s="29"/>
      <c r="L336" s="30"/>
      <c r="M336" s="2"/>
      <c r="O336" s="2" t="s">
        <v>888</v>
      </c>
      <c r="P336" s="2" t="s">
        <v>887</v>
      </c>
    </row>
    <row r="337" spans="1:14" x14ac:dyDescent="0.25">
      <c r="B337" s="893"/>
      <c r="C337" s="894"/>
      <c r="D337" s="894"/>
      <c r="E337" s="895"/>
      <c r="F337" s="855"/>
      <c r="G337" s="855"/>
      <c r="H337" s="855"/>
      <c r="I337" s="29"/>
      <c r="J337" s="29"/>
      <c r="K337" s="29"/>
      <c r="L337" s="30"/>
      <c r="M337" s="2"/>
    </row>
    <row r="338" spans="1:14" x14ac:dyDescent="0.25">
      <c r="B338" s="176"/>
      <c r="C338" s="177"/>
      <c r="D338" s="177"/>
      <c r="E338" s="177"/>
      <c r="F338" s="177"/>
      <c r="G338" s="177"/>
      <c r="H338" s="177"/>
      <c r="I338" s="177"/>
      <c r="J338" s="177"/>
      <c r="K338" s="177"/>
      <c r="L338" s="178"/>
      <c r="M338" s="2"/>
    </row>
    <row r="339" spans="1:14" s="3" customFormat="1" x14ac:dyDescent="0.25">
      <c r="A339" s="12"/>
      <c r="B339" s="190"/>
      <c r="C339" s="190"/>
      <c r="D339" s="183"/>
      <c r="E339" s="184"/>
      <c r="F339" s="184"/>
      <c r="G339" s="184"/>
      <c r="H339" s="184"/>
      <c r="I339" s="184"/>
      <c r="J339" s="184"/>
      <c r="K339" s="184"/>
      <c r="L339" s="184"/>
      <c r="M339" s="168"/>
    </row>
    <row r="340" spans="1:14" s="156" customFormat="1" x14ac:dyDescent="0.25">
      <c r="A340" s="180"/>
      <c r="B340" s="13"/>
      <c r="C340" s="13"/>
      <c r="D340" s="181"/>
      <c r="E340" s="181"/>
      <c r="F340" s="181"/>
      <c r="G340" s="181"/>
      <c r="H340" s="181"/>
      <c r="I340" s="181"/>
      <c r="J340" s="181"/>
      <c r="K340" s="181"/>
      <c r="L340" s="181"/>
      <c r="N340" s="182"/>
    </row>
    <row r="341" spans="1:14" s="156" customFormat="1" x14ac:dyDescent="0.25">
      <c r="A341" s="180"/>
      <c r="B341" s="13"/>
      <c r="C341" s="13"/>
      <c r="D341" s="181"/>
      <c r="E341" s="181"/>
      <c r="F341" s="181"/>
      <c r="G341" s="181"/>
      <c r="H341" s="181"/>
      <c r="I341" s="181"/>
      <c r="J341" s="181"/>
      <c r="K341" s="181"/>
      <c r="L341" s="181"/>
      <c r="N341" s="182"/>
    </row>
    <row r="342" spans="1:14" s="156" customFormat="1" x14ac:dyDescent="0.25">
      <c r="A342" s="180"/>
      <c r="B342" s="13"/>
      <c r="C342" s="13"/>
      <c r="D342" s="181"/>
      <c r="E342" s="181"/>
      <c r="F342" s="181"/>
      <c r="G342" s="181"/>
      <c r="H342" s="181"/>
      <c r="I342" s="181"/>
      <c r="J342" s="181"/>
      <c r="K342" s="181"/>
      <c r="L342" s="181"/>
      <c r="N342" s="182"/>
    </row>
    <row r="343" spans="1:14" s="156" customFormat="1" x14ac:dyDescent="0.25">
      <c r="A343" s="180"/>
      <c r="B343" s="13"/>
      <c r="C343" s="13"/>
      <c r="D343" s="181"/>
      <c r="E343" s="181"/>
      <c r="F343" s="181"/>
      <c r="G343" s="181"/>
      <c r="H343" s="181"/>
      <c r="I343" s="181"/>
      <c r="J343" s="181"/>
      <c r="K343" s="181"/>
      <c r="L343" s="181"/>
      <c r="N343" s="182"/>
    </row>
    <row r="344" spans="1:14" s="156" customFormat="1" x14ac:dyDescent="0.25">
      <c r="A344" s="180"/>
      <c r="B344" s="13"/>
      <c r="C344" s="13"/>
      <c r="D344" s="181"/>
      <c r="E344" s="181"/>
      <c r="F344" s="181"/>
      <c r="G344" s="181"/>
      <c r="H344" s="181"/>
      <c r="I344" s="181"/>
      <c r="J344" s="181"/>
      <c r="K344" s="181"/>
      <c r="L344" s="181"/>
      <c r="N344" s="182"/>
    </row>
    <row r="345" spans="1:14" s="156" customFormat="1" x14ac:dyDescent="0.25">
      <c r="A345" s="180"/>
      <c r="B345" s="13"/>
      <c r="C345" s="13"/>
      <c r="D345" s="181"/>
      <c r="E345" s="181"/>
      <c r="F345" s="181"/>
      <c r="G345" s="181"/>
      <c r="H345" s="181"/>
      <c r="I345" s="181"/>
      <c r="J345" s="181"/>
      <c r="K345" s="181"/>
      <c r="L345" s="181"/>
      <c r="N345" s="182"/>
    </row>
    <row r="346" spans="1:14" s="156" customFormat="1" x14ac:dyDescent="0.25">
      <c r="A346" s="180"/>
      <c r="B346" s="13"/>
      <c r="C346" s="13"/>
      <c r="D346" s="181"/>
      <c r="E346" s="181"/>
      <c r="F346" s="181"/>
      <c r="G346" s="181"/>
      <c r="H346" s="181"/>
      <c r="I346" s="181"/>
      <c r="J346" s="181"/>
      <c r="K346" s="181"/>
      <c r="L346" s="181"/>
      <c r="N346" s="182"/>
    </row>
    <row r="347" spans="1:14" s="156" customFormat="1" x14ac:dyDescent="0.25">
      <c r="A347" s="180"/>
      <c r="B347" s="13"/>
      <c r="C347" s="13"/>
      <c r="D347" s="181"/>
      <c r="E347" s="181"/>
      <c r="F347" s="181"/>
      <c r="G347" s="181"/>
      <c r="H347" s="181"/>
      <c r="I347" s="181"/>
      <c r="J347" s="181"/>
      <c r="K347" s="181"/>
      <c r="L347" s="181"/>
      <c r="N347" s="182"/>
    </row>
    <row r="348" spans="1:14" s="156" customFormat="1" x14ac:dyDescent="0.25">
      <c r="A348" s="180"/>
      <c r="B348" s="13"/>
      <c r="C348" s="13"/>
      <c r="D348" s="181"/>
      <c r="E348" s="181"/>
      <c r="F348" s="181"/>
      <c r="G348" s="181"/>
      <c r="H348" s="181"/>
      <c r="I348" s="181"/>
      <c r="J348" s="181"/>
      <c r="K348" s="181"/>
      <c r="L348" s="181"/>
      <c r="N348" s="182"/>
    </row>
    <row r="349" spans="1:14" s="156" customFormat="1" x14ac:dyDescent="0.25">
      <c r="A349" s="180"/>
      <c r="B349" s="13"/>
      <c r="C349" s="13"/>
      <c r="D349" s="181"/>
      <c r="E349" s="181"/>
      <c r="F349" s="181"/>
      <c r="G349" s="181"/>
      <c r="H349" s="181"/>
      <c r="I349" s="181"/>
      <c r="J349" s="181"/>
      <c r="K349" s="181"/>
      <c r="L349" s="181"/>
      <c r="N349" s="182"/>
    </row>
    <row r="350" spans="1:14" s="156" customFormat="1" x14ac:dyDescent="0.25">
      <c r="A350" s="180"/>
      <c r="B350" s="13"/>
      <c r="C350" s="13"/>
      <c r="D350" s="181"/>
      <c r="E350" s="181"/>
      <c r="F350" s="181"/>
      <c r="G350" s="181"/>
      <c r="H350" s="181"/>
      <c r="I350" s="181"/>
      <c r="J350" s="181"/>
      <c r="K350" s="181"/>
      <c r="L350" s="181"/>
      <c r="N350" s="182"/>
    </row>
    <row r="351" spans="1:14" s="156" customFormat="1" x14ac:dyDescent="0.25">
      <c r="A351" s="180"/>
      <c r="B351" s="13"/>
      <c r="C351" s="13"/>
      <c r="D351" s="181"/>
      <c r="E351" s="181"/>
      <c r="F351" s="181"/>
      <c r="G351" s="181"/>
      <c r="H351" s="181"/>
      <c r="I351" s="181"/>
      <c r="J351" s="181"/>
      <c r="K351" s="181"/>
      <c r="L351" s="181"/>
      <c r="N351" s="182"/>
    </row>
    <row r="352" spans="1:14" s="156" customFormat="1" x14ac:dyDescent="0.25">
      <c r="A352" s="180"/>
      <c r="B352" s="13"/>
      <c r="C352" s="13"/>
      <c r="D352" s="181"/>
      <c r="E352" s="181"/>
      <c r="F352" s="181"/>
      <c r="G352" s="181"/>
      <c r="H352" s="181"/>
      <c r="I352" s="181"/>
      <c r="J352" s="181"/>
      <c r="K352" s="181"/>
      <c r="L352" s="181"/>
      <c r="N352" s="182"/>
    </row>
    <row r="353" spans="1:14" s="156" customFormat="1" x14ac:dyDescent="0.25">
      <c r="A353" s="180"/>
      <c r="B353" s="13"/>
      <c r="C353" s="13"/>
      <c r="D353" s="181"/>
      <c r="E353" s="181"/>
      <c r="F353" s="181"/>
      <c r="G353" s="181"/>
      <c r="H353" s="181"/>
      <c r="I353" s="181"/>
      <c r="J353" s="181"/>
      <c r="K353" s="181"/>
      <c r="L353" s="181"/>
      <c r="N353" s="182"/>
    </row>
    <row r="354" spans="1:14" s="156" customFormat="1" x14ac:dyDescent="0.25">
      <c r="A354" s="180"/>
      <c r="B354" s="13"/>
      <c r="C354" s="13"/>
      <c r="D354" s="181"/>
      <c r="E354" s="181"/>
      <c r="F354" s="181"/>
      <c r="G354" s="181"/>
      <c r="H354" s="181"/>
      <c r="I354" s="181"/>
      <c r="J354" s="181"/>
      <c r="K354" s="181"/>
      <c r="L354" s="181"/>
      <c r="N354" s="182"/>
    </row>
    <row r="355" spans="1:14" s="156" customFormat="1" x14ac:dyDescent="0.25">
      <c r="A355" s="180"/>
      <c r="B355" s="13"/>
      <c r="C355" s="13"/>
      <c r="D355" s="181"/>
      <c r="E355" s="181"/>
      <c r="F355" s="181"/>
      <c r="G355" s="181"/>
      <c r="H355" s="181"/>
      <c r="I355" s="181"/>
      <c r="J355" s="181"/>
      <c r="K355" s="181"/>
      <c r="L355" s="181"/>
      <c r="N355" s="182"/>
    </row>
    <row r="356" spans="1:14" s="156" customFormat="1" x14ac:dyDescent="0.25">
      <c r="A356" s="180"/>
      <c r="B356" s="13"/>
      <c r="C356" s="13"/>
      <c r="D356" s="181"/>
      <c r="E356" s="181"/>
      <c r="F356" s="181"/>
      <c r="G356" s="181"/>
      <c r="H356" s="181"/>
      <c r="I356" s="181"/>
      <c r="J356" s="181"/>
      <c r="K356" s="181"/>
      <c r="L356" s="181"/>
      <c r="N356" s="182"/>
    </row>
    <row r="357" spans="1:14" s="156" customFormat="1" x14ac:dyDescent="0.25">
      <c r="A357" s="180"/>
      <c r="B357" s="13"/>
      <c r="C357" s="13"/>
      <c r="D357" s="181"/>
      <c r="E357" s="181"/>
      <c r="F357" s="181"/>
      <c r="G357" s="181"/>
      <c r="H357" s="181"/>
      <c r="I357" s="181"/>
      <c r="J357" s="181"/>
      <c r="K357" s="181"/>
      <c r="L357" s="181"/>
      <c r="N357" s="182"/>
    </row>
    <row r="358" spans="1:14" s="156" customFormat="1" x14ac:dyDescent="0.25">
      <c r="A358" s="180"/>
      <c r="B358" s="13"/>
      <c r="C358" s="13"/>
      <c r="D358" s="181"/>
      <c r="E358" s="181"/>
      <c r="F358" s="181"/>
      <c r="G358" s="181"/>
      <c r="H358" s="181"/>
      <c r="I358" s="181"/>
      <c r="J358" s="181"/>
      <c r="K358" s="181"/>
      <c r="L358" s="181"/>
      <c r="N358" s="182"/>
    </row>
    <row r="359" spans="1:14" s="156" customFormat="1" x14ac:dyDescent="0.25">
      <c r="A359" s="180"/>
      <c r="B359" s="13"/>
      <c r="C359" s="13"/>
      <c r="D359" s="181"/>
      <c r="E359" s="181"/>
      <c r="F359" s="181"/>
      <c r="G359" s="181"/>
      <c r="H359" s="181"/>
      <c r="I359" s="181"/>
      <c r="J359" s="181"/>
      <c r="K359" s="181"/>
      <c r="L359" s="181"/>
      <c r="N359" s="182"/>
    </row>
    <row r="360" spans="1:14" s="156" customFormat="1" x14ac:dyDescent="0.25">
      <c r="A360" s="180"/>
      <c r="B360" s="13"/>
      <c r="C360" s="13"/>
      <c r="D360" s="181"/>
      <c r="E360" s="181"/>
      <c r="F360" s="181"/>
      <c r="G360" s="181"/>
      <c r="H360" s="181"/>
      <c r="I360" s="181"/>
      <c r="J360" s="181"/>
      <c r="K360" s="181"/>
      <c r="L360" s="181"/>
      <c r="N360" s="182"/>
    </row>
  </sheetData>
  <sheetProtection algorithmName="SHA-512" hashValue="beRlxac/LtetfiJSuU0v98uoWWhLVrAaYLcog2/yRUC3W8JtodAQUND8oNV2Oh5jY4cdGaHc330kh0jqk7Q5JQ==" saltValue="lMmONdBt8rKuPeqmK5Yj6Q==" spinCount="100000" sheet="1" objects="1" scenarios="1" selectLockedCells="1"/>
  <mergeCells count="248">
    <mergeCell ref="B332:E332"/>
    <mergeCell ref="B257:E257"/>
    <mergeCell ref="B258:E258"/>
    <mergeCell ref="B259:E260"/>
    <mergeCell ref="B261:E262"/>
    <mergeCell ref="B264:E264"/>
    <mergeCell ref="B265:E266"/>
    <mergeCell ref="B267:E268"/>
    <mergeCell ref="B327:E327"/>
    <mergeCell ref="B328:E329"/>
    <mergeCell ref="B330:E331"/>
    <mergeCell ref="B326:E326"/>
    <mergeCell ref="B301:D301"/>
    <mergeCell ref="B305:D305"/>
    <mergeCell ref="B306:D306"/>
    <mergeCell ref="B309:D309"/>
    <mergeCell ref="B285:D285"/>
    <mergeCell ref="B286:D286"/>
    <mergeCell ref="B290:D290"/>
    <mergeCell ref="B291:D291"/>
    <mergeCell ref="B295:D295"/>
    <mergeCell ref="B272:L272"/>
    <mergeCell ref="B277:L277"/>
    <mergeCell ref="B278:L278"/>
    <mergeCell ref="F334:F335"/>
    <mergeCell ref="G334:G335"/>
    <mergeCell ref="H334:H335"/>
    <mergeCell ref="F336:F337"/>
    <mergeCell ref="G336:G337"/>
    <mergeCell ref="H336:H337"/>
    <mergeCell ref="B333:E333"/>
    <mergeCell ref="B334:E335"/>
    <mergeCell ref="B336:E337"/>
    <mergeCell ref="H330:H331"/>
    <mergeCell ref="F259:F260"/>
    <mergeCell ref="G259:G260"/>
    <mergeCell ref="H259:H260"/>
    <mergeCell ref="F261:F262"/>
    <mergeCell ref="G261:G262"/>
    <mergeCell ref="H261:H262"/>
    <mergeCell ref="F265:F266"/>
    <mergeCell ref="G265:G266"/>
    <mergeCell ref="H265:H266"/>
    <mergeCell ref="H267:H268"/>
    <mergeCell ref="B323:L324"/>
    <mergeCell ref="B316:D316"/>
    <mergeCell ref="B310:D310"/>
    <mergeCell ref="B311:D311"/>
    <mergeCell ref="B304:D304"/>
    <mergeCell ref="F330:F331"/>
    <mergeCell ref="G330:G331"/>
    <mergeCell ref="F328:F329"/>
    <mergeCell ref="G328:G329"/>
    <mergeCell ref="H328:H329"/>
    <mergeCell ref="B274:L274"/>
    <mergeCell ref="B284:D284"/>
    <mergeCell ref="B279:D279"/>
    <mergeCell ref="B161:L162"/>
    <mergeCell ref="B175:L176"/>
    <mergeCell ref="B173:L173"/>
    <mergeCell ref="B148:L148"/>
    <mergeCell ref="D146:E146"/>
    <mergeCell ref="B234:D234"/>
    <mergeCell ref="B235:D235"/>
    <mergeCell ref="B263:E263"/>
    <mergeCell ref="B239:D239"/>
    <mergeCell ref="B240:D240"/>
    <mergeCell ref="B242:D242"/>
    <mergeCell ref="C226:L226"/>
    <mergeCell ref="C222:L222"/>
    <mergeCell ref="B230:L230"/>
    <mergeCell ref="B250:D250"/>
    <mergeCell ref="B217:L217"/>
    <mergeCell ref="B192:L199"/>
    <mergeCell ref="B220:L220"/>
    <mergeCell ref="B209:E209"/>
    <mergeCell ref="B251:D251"/>
    <mergeCell ref="B252:D252"/>
    <mergeCell ref="B218:L218"/>
    <mergeCell ref="B228:L228"/>
    <mergeCell ref="B210:E210"/>
    <mergeCell ref="B4:L4"/>
    <mergeCell ref="B5:L5"/>
    <mergeCell ref="B6:L6"/>
    <mergeCell ref="B114:L114"/>
    <mergeCell ref="B142:L142"/>
    <mergeCell ref="B15:L15"/>
    <mergeCell ref="B16:L16"/>
    <mergeCell ref="B21:L21"/>
    <mergeCell ref="B25:D27"/>
    <mergeCell ref="B28:D30"/>
    <mergeCell ref="K57:K58"/>
    <mergeCell ref="H51:H52"/>
    <mergeCell ref="B31:D33"/>
    <mergeCell ref="B40:D42"/>
    <mergeCell ref="B43:D45"/>
    <mergeCell ref="B8:L8"/>
    <mergeCell ref="E29:F29"/>
    <mergeCell ref="E30:F30"/>
    <mergeCell ref="E31:F31"/>
    <mergeCell ref="B9:L9"/>
    <mergeCell ref="B10:L10"/>
    <mergeCell ref="B12:L12"/>
    <mergeCell ref="E32:F32"/>
    <mergeCell ref="E33:F33"/>
    <mergeCell ref="B13:L13"/>
    <mergeCell ref="H23:H24"/>
    <mergeCell ref="I51:I52"/>
    <mergeCell ref="J51:J52"/>
    <mergeCell ref="K51:K52"/>
    <mergeCell ref="B49:L50"/>
    <mergeCell ref="E40:F40"/>
    <mergeCell ref="E41:F41"/>
    <mergeCell ref="E42:F42"/>
    <mergeCell ref="B19:L19"/>
    <mergeCell ref="B47:L47"/>
    <mergeCell ref="B14:L14"/>
    <mergeCell ref="B18:L18"/>
    <mergeCell ref="I23:I24"/>
    <mergeCell ref="J23:J24"/>
    <mergeCell ref="K23:K24"/>
    <mergeCell ref="E43:F43"/>
    <mergeCell ref="E44:F44"/>
    <mergeCell ref="E45:F45"/>
    <mergeCell ref="G23:G24"/>
    <mergeCell ref="G51:G52"/>
    <mergeCell ref="E25:F25"/>
    <mergeCell ref="E26:F26"/>
    <mergeCell ref="E27:F27"/>
    <mergeCell ref="B99:L99"/>
    <mergeCell ref="B112:L112"/>
    <mergeCell ref="B125:L125"/>
    <mergeCell ref="F57:F58"/>
    <mergeCell ref="G57:G58"/>
    <mergeCell ref="H57:H58"/>
    <mergeCell ref="B62:L69"/>
    <mergeCell ref="B76:L83"/>
    <mergeCell ref="B90:L97"/>
    <mergeCell ref="B103:L110"/>
    <mergeCell ref="B116:L123"/>
    <mergeCell ref="B60:L60"/>
    <mergeCell ref="B57:E58"/>
    <mergeCell ref="B211:E211"/>
    <mergeCell ref="C223:L223"/>
    <mergeCell ref="C224:L224"/>
    <mergeCell ref="C225:L225"/>
    <mergeCell ref="B213:E213"/>
    <mergeCell ref="B214:E214"/>
    <mergeCell ref="B212:E212"/>
    <mergeCell ref="F267:F268"/>
    <mergeCell ref="G267:G268"/>
    <mergeCell ref="B254:L255"/>
    <mergeCell ref="B205:L205"/>
    <mergeCell ref="B202:L202"/>
    <mergeCell ref="B87:L88"/>
    <mergeCell ref="B101:L101"/>
    <mergeCell ref="B127:L129"/>
    <mergeCell ref="E28:F28"/>
    <mergeCell ref="I57:I58"/>
    <mergeCell ref="J57:J58"/>
    <mergeCell ref="B53:E56"/>
    <mergeCell ref="F53:F56"/>
    <mergeCell ref="G53:G55"/>
    <mergeCell ref="H53:H55"/>
    <mergeCell ref="I53:I55"/>
    <mergeCell ref="J53:J55"/>
    <mergeCell ref="B37:D39"/>
    <mergeCell ref="E37:F37"/>
    <mergeCell ref="E38:F38"/>
    <mergeCell ref="E39:F39"/>
    <mergeCell ref="B34:D36"/>
    <mergeCell ref="E34:F34"/>
    <mergeCell ref="E35:F35"/>
    <mergeCell ref="E36:F36"/>
    <mergeCell ref="B71:L71"/>
    <mergeCell ref="B85:L85"/>
    <mergeCell ref="B314:D314"/>
    <mergeCell ref="B315:D315"/>
    <mergeCell ref="B296:D296"/>
    <mergeCell ref="B300:D300"/>
    <mergeCell ref="B140:L140"/>
    <mergeCell ref="B159:L159"/>
    <mergeCell ref="B233:L233"/>
    <mergeCell ref="B237:L237"/>
    <mergeCell ref="B236:D236"/>
    <mergeCell ref="B238:D238"/>
    <mergeCell ref="B243:D243"/>
    <mergeCell ref="B244:D244"/>
    <mergeCell ref="B246:D246"/>
    <mergeCell ref="B247:D247"/>
    <mergeCell ref="B241:L241"/>
    <mergeCell ref="B245:L245"/>
    <mergeCell ref="B248:D248"/>
    <mergeCell ref="B280:D280"/>
    <mergeCell ref="B281:D281"/>
    <mergeCell ref="B249:L249"/>
    <mergeCell ref="B271:L271"/>
    <mergeCell ref="B150:L157"/>
    <mergeCell ref="B164:L171"/>
    <mergeCell ref="B178:L185"/>
    <mergeCell ref="E302:L302"/>
    <mergeCell ref="B308:L308"/>
    <mergeCell ref="B307:D307"/>
    <mergeCell ref="E307:L307"/>
    <mergeCell ref="B289:D289"/>
    <mergeCell ref="B294:D294"/>
    <mergeCell ref="B299:D299"/>
    <mergeCell ref="B313:L313"/>
    <mergeCell ref="K53:K55"/>
    <mergeCell ref="B131:L138"/>
    <mergeCell ref="B73:L74"/>
    <mergeCell ref="G144:G145"/>
    <mergeCell ref="B189:L190"/>
    <mergeCell ref="G207:G208"/>
    <mergeCell ref="H207:H208"/>
    <mergeCell ref="I207:I208"/>
    <mergeCell ref="J207:J208"/>
    <mergeCell ref="K207:K208"/>
    <mergeCell ref="I144:I145"/>
    <mergeCell ref="B187:L187"/>
    <mergeCell ref="B203:L203"/>
    <mergeCell ref="J144:J145"/>
    <mergeCell ref="K144:K145"/>
    <mergeCell ref="H144:H145"/>
    <mergeCell ref="B312:D312"/>
    <mergeCell ref="E312:L312"/>
    <mergeCell ref="B318:L318"/>
    <mergeCell ref="B317:D317"/>
    <mergeCell ref="E317:L317"/>
    <mergeCell ref="B322:D322"/>
    <mergeCell ref="E322:L322"/>
    <mergeCell ref="B283:L283"/>
    <mergeCell ref="B282:D282"/>
    <mergeCell ref="E282:L282"/>
    <mergeCell ref="B319:D319"/>
    <mergeCell ref="B320:D320"/>
    <mergeCell ref="B321:D321"/>
    <mergeCell ref="B287:D287"/>
    <mergeCell ref="E287:L287"/>
    <mergeCell ref="B288:L288"/>
    <mergeCell ref="B293:L293"/>
    <mergeCell ref="B292:D292"/>
    <mergeCell ref="E292:L292"/>
    <mergeCell ref="B297:D297"/>
    <mergeCell ref="E297:L297"/>
    <mergeCell ref="B298:L298"/>
    <mergeCell ref="B303:L303"/>
    <mergeCell ref="B302:D302"/>
  </mergeCells>
  <phoneticPr fontId="18" type="noConversion"/>
  <conditionalFormatting sqref="F258:H259 F261:H261 F264:H265 F267:H267">
    <cfRule type="cellIs" dxfId="4" priority="4" operator="equal">
      <formula>"Error"</formula>
    </cfRule>
  </conditionalFormatting>
  <conditionalFormatting sqref="F327:H328 F330:H330">
    <cfRule type="cellIs" dxfId="3" priority="2" operator="equal">
      <formula>"Error"</formula>
    </cfRule>
  </conditionalFormatting>
  <conditionalFormatting sqref="F333:H334 F336:H336">
    <cfRule type="cellIs" dxfId="2" priority="1" operator="equal">
      <formula>"Error"</formula>
    </cfRule>
  </conditionalFormatting>
  <dataValidations xWindow="417" yWindow="363" count="4">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7 E281:L281 G214:K214 E236:L236 E240:L240 E244:L244 E248:L248 E252:L252 E286:L286 E291:L291 E296:L296 E301:L301 E306:L306 E311:L311 G36:K36 F330:H330 F327:H328 F336:H336 F333:H334 F261:H261 F258:H259 F267:H267 F264:H265 G45:K45 G42:K42 G39:K39 G30:K30 H25:K27 G56:K57 G33:K33 E316:L316 E321:L321" xr:uid="{72976589-ADC1-4497-B4BE-A694751FADD3}">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62:B64 B76 B90 B103 B116 B131 B150 B164 B178 B192 B79:B80 B93:B94" xr:uid="{0E1763AA-C851-4790-9B75-66F32446FBF7}">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314:L314 G25 G28:K28 G34:K34 G40:K40 G146:K146 G209:K213 G43:K43 E234:L234 E238:L238 E242:L242 E246:L246 E250:L250 E279:L279 E284:L284 E289:L289 E294:L294 E299:L299 E304:L304 E309:L309 G31:K31 G37:K38 E319:L319" xr:uid="{008176F5-099A-4677-B6B4-C7604F9097F7}">
      <formula1>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6 G29:K29 G32:K32 G35:K35 G41:K41 G44:K44 E235:L235 E239:L239 E243:L243 E247:L247 E251:L251 E280:L280 E285:L285 E290:L290 E295:L295 E300:L300 E305:L305 E310:L310 E315:L315 E320:L320" xr:uid="{D9A58C18-3DC8-4722-8CAB-38ACC4E8E942}">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5" manualBreakCount="5">
    <brk id="70" min="1" max="10" man="1"/>
    <brk id="124" min="1" max="11" man="1"/>
    <brk id="172" min="1" max="11" man="1"/>
    <brk id="227" min="1" max="11" man="1"/>
    <brk id="270"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54CBD-1E56-47B5-86FF-DC76D73B23C4}">
  <sheetPr>
    <tabColor rgb="FF92D050"/>
    <pageSetUpPr fitToPage="1"/>
  </sheetPr>
  <dimension ref="A1:P401"/>
  <sheetViews>
    <sheetView showGridLines="0" zoomScaleNormal="100" workbookViewId="0"/>
  </sheetViews>
  <sheetFormatPr defaultColWidth="9.140625" defaultRowHeight="14.25" x14ac:dyDescent="0.25"/>
  <cols>
    <col min="1" max="1" width="1.85546875" style="12" customWidth="1"/>
    <col min="2" max="12" width="14.5703125" style="19" customWidth="1"/>
    <col min="13" max="13" width="14.5703125" style="1" customWidth="1"/>
    <col min="14" max="14" width="14.5703125" style="2" customWidth="1"/>
    <col min="15" max="16" width="14.5703125" style="2" hidden="1" customWidth="1"/>
    <col min="17" max="17" width="8.5703125" style="2" customWidth="1"/>
    <col min="18" max="16384" width="9.140625" style="2"/>
  </cols>
  <sheetData>
    <row r="1" spans="1:16" x14ac:dyDescent="0.25">
      <c r="O1" s="2" t="s">
        <v>720</v>
      </c>
      <c r="P1" s="2" t="s">
        <v>720</v>
      </c>
    </row>
    <row r="2" spans="1:16" x14ac:dyDescent="0.25">
      <c r="B2" s="20" t="str">
        <f>'Pro 1'!B2</f>
        <v>PROTECTED</v>
      </c>
      <c r="C2" s="20"/>
      <c r="D2" s="20"/>
      <c r="O2" s="3" t="s">
        <v>166</v>
      </c>
      <c r="P2" s="3" t="s">
        <v>167</v>
      </c>
    </row>
    <row r="3" spans="1:16" x14ac:dyDescent="0.25">
      <c r="B3" s="21"/>
      <c r="C3" s="21"/>
      <c r="D3" s="21"/>
      <c r="O3" s="8"/>
      <c r="P3" s="8"/>
    </row>
    <row r="4" spans="1:16" s="8" customFormat="1" x14ac:dyDescent="0.25">
      <c r="A4" s="13"/>
      <c r="B4" s="649" t="str">
        <f>Info!B4</f>
        <v>PRODUCERS' QUESTIONNAIRE</v>
      </c>
      <c r="C4" s="650"/>
      <c r="D4" s="650"/>
      <c r="E4" s="650"/>
      <c r="F4" s="650"/>
      <c r="G4" s="650"/>
      <c r="H4" s="650"/>
      <c r="I4" s="650"/>
      <c r="J4" s="650"/>
      <c r="K4" s="650"/>
      <c r="L4" s="651"/>
      <c r="M4" s="15"/>
      <c r="N4" s="15"/>
      <c r="O4" s="14"/>
      <c r="P4" s="14"/>
    </row>
    <row r="5" spans="1:16" s="8" customFormat="1" x14ac:dyDescent="0.25">
      <c r="A5" s="13"/>
      <c r="B5" s="652" t="str">
        <f>Info!B5</f>
        <v>NQ-2026-004</v>
      </c>
      <c r="C5" s="653"/>
      <c r="D5" s="653"/>
      <c r="E5" s="653"/>
      <c r="F5" s="653"/>
      <c r="G5" s="653"/>
      <c r="H5" s="653"/>
      <c r="I5" s="653"/>
      <c r="J5" s="653"/>
      <c r="K5" s="653"/>
      <c r="L5" s="654"/>
      <c r="M5" s="15"/>
      <c r="N5" s="15"/>
      <c r="O5" s="14"/>
      <c r="P5" s="14"/>
    </row>
    <row r="6" spans="1:16" s="9" customFormat="1" x14ac:dyDescent="0.25">
      <c r="A6" s="13"/>
      <c r="B6" s="652" t="str">
        <f>Info!B6</f>
        <v>DECORATIVE AND OTHER NON-STRUCTURAL PLYWOOD</v>
      </c>
      <c r="C6" s="653"/>
      <c r="D6" s="653"/>
      <c r="E6" s="653"/>
      <c r="F6" s="653"/>
      <c r="G6" s="653"/>
      <c r="H6" s="653"/>
      <c r="I6" s="653"/>
      <c r="J6" s="653"/>
      <c r="K6" s="653"/>
      <c r="L6" s="654"/>
      <c r="M6" s="14"/>
      <c r="N6" s="14"/>
      <c r="O6" s="10"/>
      <c r="P6" s="10"/>
    </row>
    <row r="7" spans="1:16" s="9" customFormat="1" x14ac:dyDescent="0.25">
      <c r="A7" s="13"/>
      <c r="B7" s="242"/>
      <c r="C7" s="28"/>
      <c r="D7" s="28"/>
      <c r="E7" s="28"/>
      <c r="F7" s="28"/>
      <c r="G7" s="28"/>
      <c r="H7" s="28"/>
      <c r="I7" s="28"/>
      <c r="J7" s="28"/>
      <c r="K7" s="28"/>
      <c r="L7" s="243"/>
      <c r="M7" s="14"/>
      <c r="N7" s="14"/>
      <c r="O7" s="5"/>
    </row>
    <row r="8" spans="1:16" s="9" customFormat="1" x14ac:dyDescent="0.25">
      <c r="A8" s="13"/>
      <c r="B8" s="733" t="str">
        <f>Public!B8</f>
        <v>The following questions refer to the goods as defined in the product description on the Intro tab.</v>
      </c>
      <c r="C8" s="734"/>
      <c r="D8" s="734"/>
      <c r="E8" s="734"/>
      <c r="F8" s="734"/>
      <c r="G8" s="734"/>
      <c r="H8" s="734"/>
      <c r="I8" s="734"/>
      <c r="J8" s="734"/>
      <c r="K8" s="734"/>
      <c r="L8" s="735"/>
      <c r="M8" s="14"/>
      <c r="N8" s="14"/>
      <c r="O8" s="10"/>
      <c r="P8" s="10"/>
    </row>
    <row r="9" spans="1:16" s="9" customFormat="1" x14ac:dyDescent="0.25">
      <c r="A9" s="13"/>
      <c r="B9" s="733" t="str">
        <f>Public!B9</f>
        <v xml:space="preserve">Product information and a glossary of terms can be found in the Info tab.
</v>
      </c>
      <c r="C9" s="734"/>
      <c r="D9" s="734"/>
      <c r="E9" s="734"/>
      <c r="F9" s="734"/>
      <c r="G9" s="734"/>
      <c r="H9" s="734"/>
      <c r="I9" s="734"/>
      <c r="J9" s="734"/>
      <c r="K9" s="734"/>
      <c r="L9" s="735"/>
      <c r="M9" s="14"/>
      <c r="N9" s="14"/>
      <c r="O9" s="10"/>
    </row>
    <row r="10" spans="1:16" s="9" customFormat="1" x14ac:dyDescent="0.25">
      <c r="A10" s="13"/>
      <c r="B10" s="733" t="str">
        <f>'Pro 1'!B10</f>
        <v xml:space="preserve">Use the AddPro tab if more space is needed.
</v>
      </c>
      <c r="C10" s="734"/>
      <c r="D10" s="734"/>
      <c r="E10" s="734"/>
      <c r="F10" s="734"/>
      <c r="G10" s="734"/>
      <c r="H10" s="734"/>
      <c r="I10" s="734"/>
      <c r="J10" s="734"/>
      <c r="K10" s="734"/>
      <c r="L10" s="735"/>
      <c r="M10" s="14"/>
      <c r="N10" s="14"/>
      <c r="O10" s="10"/>
      <c r="P10" s="10"/>
    </row>
    <row r="11" spans="1:16" s="9" customFormat="1" x14ac:dyDescent="0.25">
      <c r="A11" s="13"/>
      <c r="B11" s="244"/>
      <c r="C11" s="241"/>
      <c r="D11" s="241"/>
      <c r="E11" s="28"/>
      <c r="F11" s="28"/>
      <c r="G11" s="28"/>
      <c r="H11" s="28"/>
      <c r="I11" s="28"/>
      <c r="J11" s="28"/>
      <c r="K11" s="28"/>
      <c r="L11" s="243"/>
      <c r="M11" s="14"/>
      <c r="N11" s="14"/>
      <c r="O11" s="10"/>
      <c r="P11" s="10"/>
    </row>
    <row r="12" spans="1:16" s="9" customFormat="1" x14ac:dyDescent="0.25">
      <c r="A12" s="13"/>
      <c r="B12" s="733" t="str">
        <f>'Pro 2'!B12</f>
        <v>For the questions in this tab, note the following:</v>
      </c>
      <c r="C12" s="734"/>
      <c r="D12" s="734"/>
      <c r="E12" s="734"/>
      <c r="F12" s="734"/>
      <c r="G12" s="734"/>
      <c r="H12" s="734"/>
      <c r="I12" s="734"/>
      <c r="J12" s="734"/>
      <c r="K12" s="734"/>
      <c r="L12" s="735"/>
      <c r="M12" s="14"/>
      <c r="N12" s="14"/>
      <c r="O12" s="10"/>
      <c r="P12" s="10"/>
    </row>
    <row r="13" spans="1:16" s="9" customFormat="1" x14ac:dyDescent="0.25">
      <c r="A13" s="5"/>
      <c r="B13" s="967" t="str">
        <f>IF(Intro!$G$21="English",O13,P13)</f>
        <v xml:space="preserve">• The statements are to be prepared using a full absorption costing method and are to be reported on a calendar-year basis. 
</v>
      </c>
      <c r="C13" s="968"/>
      <c r="D13" s="968"/>
      <c r="E13" s="968"/>
      <c r="F13" s="968"/>
      <c r="G13" s="968"/>
      <c r="H13" s="968"/>
      <c r="I13" s="968"/>
      <c r="J13" s="968"/>
      <c r="K13" s="968"/>
      <c r="L13" s="969"/>
      <c r="M13" s="14"/>
      <c r="N13" s="14"/>
      <c r="O13" s="10" t="s">
        <v>585</v>
      </c>
      <c r="P13" s="10" t="s">
        <v>586</v>
      </c>
    </row>
    <row r="14" spans="1:16" s="9" customFormat="1" x14ac:dyDescent="0.25">
      <c r="A14" s="13"/>
      <c r="B14" s="736" t="str">
        <f>'Pro 2'!B16</f>
        <v>• Report all values in Canadian dollars (CAD).</v>
      </c>
      <c r="C14" s="737"/>
      <c r="D14" s="737"/>
      <c r="E14" s="737"/>
      <c r="F14" s="737"/>
      <c r="G14" s="737"/>
      <c r="H14" s="737"/>
      <c r="I14" s="737"/>
      <c r="J14" s="737"/>
      <c r="K14" s="737"/>
      <c r="L14" s="738"/>
      <c r="M14" s="14"/>
      <c r="N14" s="14"/>
      <c r="O14" s="10"/>
      <c r="P14" s="10"/>
    </row>
    <row r="15" spans="1:16" s="9" customFormat="1" x14ac:dyDescent="0.25">
      <c r="A15" s="13"/>
      <c r="B15" s="22"/>
      <c r="C15" s="22"/>
      <c r="D15" s="22"/>
      <c r="E15" s="23"/>
      <c r="F15" s="23"/>
      <c r="G15" s="23"/>
      <c r="H15" s="23"/>
      <c r="I15" s="23"/>
      <c r="J15" s="23"/>
      <c r="K15" s="23"/>
      <c r="L15" s="23"/>
      <c r="O15" s="10"/>
      <c r="P15" s="10"/>
    </row>
    <row r="16" spans="1:16" x14ac:dyDescent="0.25">
      <c r="B16" s="618" t="str">
        <f>IF(Intro!$G$21="English",O16,P16)</f>
        <v>COST OF GOODS MANUFACTURED - FOR THE GOODS ONLY</v>
      </c>
      <c r="C16" s="619"/>
      <c r="D16" s="619"/>
      <c r="E16" s="619"/>
      <c r="F16" s="619"/>
      <c r="G16" s="619"/>
      <c r="H16" s="619"/>
      <c r="I16" s="619"/>
      <c r="J16" s="619"/>
      <c r="K16" s="619"/>
      <c r="L16" s="620"/>
      <c r="M16" s="2"/>
      <c r="O16" s="199" t="s">
        <v>807</v>
      </c>
      <c r="P16" s="199" t="s">
        <v>812</v>
      </c>
    </row>
    <row r="17" spans="2:16" x14ac:dyDescent="0.25">
      <c r="B17" s="711" t="s">
        <v>20</v>
      </c>
      <c r="C17" s="712"/>
      <c r="D17" s="712"/>
      <c r="E17" s="712"/>
      <c r="F17" s="712"/>
      <c r="G17" s="712"/>
      <c r="H17" s="712"/>
      <c r="I17" s="712"/>
      <c r="J17" s="712"/>
      <c r="K17" s="712"/>
      <c r="L17" s="713"/>
      <c r="M17" s="2"/>
    </row>
    <row r="18" spans="2:16" x14ac:dyDescent="0.25">
      <c r="B18" s="24"/>
      <c r="C18" s="25"/>
      <c r="D18" s="25"/>
      <c r="E18" s="26"/>
      <c r="F18" s="26"/>
      <c r="G18" s="26"/>
      <c r="H18" s="26"/>
      <c r="I18" s="26"/>
      <c r="J18" s="26"/>
      <c r="K18" s="26"/>
      <c r="L18" s="27"/>
      <c r="M18" s="2"/>
    </row>
    <row r="19" spans="2:16" x14ac:dyDescent="0.25">
      <c r="B19" s="612" t="str">
        <f>IF(Intro!$G$21="English",O19,P19)</f>
        <v xml:space="preserve">Complete the statement of the cost of goods manufactured for your firm's sales in Canada and export sales of the goods produced in Canada. </v>
      </c>
      <c r="C19" s="613"/>
      <c r="D19" s="613"/>
      <c r="E19" s="613"/>
      <c r="F19" s="613"/>
      <c r="G19" s="613"/>
      <c r="H19" s="613"/>
      <c r="I19" s="613"/>
      <c r="J19" s="613"/>
      <c r="K19" s="613"/>
      <c r="L19" s="614"/>
      <c r="M19" s="2"/>
      <c r="O19" s="11" t="s">
        <v>418</v>
      </c>
      <c r="P19" s="2" t="s">
        <v>159</v>
      </c>
    </row>
    <row r="20" spans="2:16" x14ac:dyDescent="0.25">
      <c r="B20" s="159"/>
      <c r="C20" s="160"/>
      <c r="D20" s="25"/>
      <c r="E20" s="26"/>
      <c r="F20" s="26"/>
      <c r="G20" s="26"/>
      <c r="H20" s="26"/>
      <c r="I20" s="26"/>
      <c r="J20" s="26"/>
      <c r="K20" s="26"/>
      <c r="L20" s="27"/>
      <c r="M20" s="2"/>
      <c r="O20" s="11"/>
    </row>
    <row r="21" spans="2:16" x14ac:dyDescent="0.25">
      <c r="B21" s="933" t="str">
        <f>IF(Intro!$G$21="English",O21,P21)</f>
        <v>For Sale in Canada</v>
      </c>
      <c r="C21" s="934"/>
      <c r="D21" s="934"/>
      <c r="E21" s="934"/>
      <c r="F21" s="935"/>
      <c r="G21" s="826">
        <f>Variables!$B$6</f>
        <v>2023</v>
      </c>
      <c r="H21" s="826">
        <f>G21+1</f>
        <v>2024</v>
      </c>
      <c r="I21" s="826">
        <f>H21+1</f>
        <v>2025</v>
      </c>
      <c r="J21" s="826" t="str">
        <f>J362</f>
        <v>Jan-Mar 2025</v>
      </c>
      <c r="K21" s="806" t="str">
        <f>K362</f>
        <v>Jan-Mar 2026</v>
      </c>
      <c r="L21" s="273"/>
      <c r="M21" s="2"/>
      <c r="O21" s="11" t="s">
        <v>43</v>
      </c>
      <c r="P21" s="11" t="s">
        <v>44</v>
      </c>
    </row>
    <row r="22" spans="2:16" x14ac:dyDescent="0.25">
      <c r="B22" s="936"/>
      <c r="C22" s="937"/>
      <c r="D22" s="937"/>
      <c r="E22" s="937"/>
      <c r="F22" s="938"/>
      <c r="G22" s="827"/>
      <c r="H22" s="827"/>
      <c r="I22" s="827"/>
      <c r="J22" s="827"/>
      <c r="K22" s="806"/>
      <c r="L22" s="273"/>
      <c r="M22" s="2"/>
      <c r="O22" s="11"/>
      <c r="P22" s="11"/>
    </row>
    <row r="23" spans="2:16" x14ac:dyDescent="0.25">
      <c r="B23" s="717" t="str">
        <f>'Pro 1'!B20</f>
        <v>Production for sale in Canada</v>
      </c>
      <c r="C23" s="718"/>
      <c r="D23" s="718"/>
      <c r="E23" s="719"/>
      <c r="F23" s="206" t="str">
        <f>'Pro 1'!F20</f>
        <v>MSF</v>
      </c>
      <c r="G23" s="270">
        <f>'Pro 1'!G20</f>
        <v>0</v>
      </c>
      <c r="H23" s="270">
        <f>'Pro 1'!H20</f>
        <v>0</v>
      </c>
      <c r="I23" s="270">
        <f>'Pro 1'!I20</f>
        <v>0</v>
      </c>
      <c r="J23" s="270">
        <f>'Pro 1'!J20</f>
        <v>0</v>
      </c>
      <c r="K23" s="270">
        <f>'Pro 1'!K20</f>
        <v>0</v>
      </c>
      <c r="L23" s="273"/>
      <c r="M23" s="2"/>
      <c r="O23" s="11"/>
      <c r="P23" s="11"/>
    </row>
    <row r="24" spans="2:16" x14ac:dyDescent="0.25">
      <c r="B24" s="717" t="str">
        <f>IF(Intro!$G$21="English",O24,P24)</f>
        <v xml:space="preserve">Beginning Inventory of Goods in Process </v>
      </c>
      <c r="C24" s="718"/>
      <c r="D24" s="718"/>
      <c r="E24" s="719"/>
      <c r="F24" s="206" t="s">
        <v>560</v>
      </c>
      <c r="G24" s="263"/>
      <c r="H24" s="263"/>
      <c r="I24" s="263"/>
      <c r="J24" s="263"/>
      <c r="K24" s="263"/>
      <c r="L24" s="273"/>
      <c r="M24" s="2"/>
      <c r="O24" s="2" t="s">
        <v>57</v>
      </c>
      <c r="P24" s="2" t="s">
        <v>58</v>
      </c>
    </row>
    <row r="25" spans="2:16" x14ac:dyDescent="0.25">
      <c r="B25" s="921" t="str">
        <f>IF(Intro!$G$21="English",O25,P25)</f>
        <v xml:space="preserve">Direct material used 1 - </v>
      </c>
      <c r="C25" s="922"/>
      <c r="D25" s="922"/>
      <c r="E25" s="923"/>
      <c r="F25" s="206" t="s">
        <v>560</v>
      </c>
      <c r="G25" s="263"/>
      <c r="H25" s="263"/>
      <c r="I25" s="263"/>
      <c r="J25" s="263"/>
      <c r="K25" s="263"/>
      <c r="L25" s="273"/>
      <c r="M25" s="2"/>
      <c r="O25" s="11" t="str">
        <f>"Direct material used 1 - "&amp;Public!D174</f>
        <v xml:space="preserve">Direct material used 1 - </v>
      </c>
      <c r="P25" s="2" t="str">
        <f>"La matière directe utilisée 1 - "&amp;Public!D174</f>
        <v xml:space="preserve">La matière directe utilisée 1 - </v>
      </c>
    </row>
    <row r="26" spans="2:16" x14ac:dyDescent="0.25">
      <c r="B26" s="921" t="str">
        <f>IF(Intro!$G$21="English",O26,P26)</f>
        <v xml:space="preserve">Direct material used 2 - </v>
      </c>
      <c r="C26" s="922"/>
      <c r="D26" s="922"/>
      <c r="E26" s="923"/>
      <c r="F26" s="206" t="s">
        <v>560</v>
      </c>
      <c r="G26" s="263"/>
      <c r="H26" s="263"/>
      <c r="I26" s="263"/>
      <c r="J26" s="263"/>
      <c r="K26" s="263"/>
      <c r="L26" s="273"/>
      <c r="M26" s="2"/>
      <c r="O26" s="11" t="str">
        <f>"Direct material used 2 - "&amp;Public!D175</f>
        <v xml:space="preserve">Direct material used 2 - </v>
      </c>
      <c r="P26" s="2" t="str">
        <f>"La matière directe utilisée 2 - "&amp;Public!D175</f>
        <v xml:space="preserve">La matière directe utilisée 2 - </v>
      </c>
    </row>
    <row r="27" spans="2:16" x14ac:dyDescent="0.25">
      <c r="B27" s="921" t="str">
        <f>IF(Intro!$G$21="English",O27,P27)</f>
        <v xml:space="preserve">Direct material used 3 - </v>
      </c>
      <c r="C27" s="922"/>
      <c r="D27" s="922"/>
      <c r="E27" s="923"/>
      <c r="F27" s="206" t="s">
        <v>560</v>
      </c>
      <c r="G27" s="263"/>
      <c r="H27" s="263"/>
      <c r="I27" s="263"/>
      <c r="J27" s="263"/>
      <c r="K27" s="263"/>
      <c r="L27" s="273"/>
      <c r="M27" s="2"/>
      <c r="O27" s="11" t="str">
        <f>"Direct material used 3 - "&amp;Public!D176</f>
        <v xml:space="preserve">Direct material used 3 - </v>
      </c>
      <c r="P27" s="2" t="str">
        <f>"La matière directe utilisée 3 - "&amp;Public!D176</f>
        <v xml:space="preserve">La matière directe utilisée 3 - </v>
      </c>
    </row>
    <row r="28" spans="2:16" x14ac:dyDescent="0.25">
      <c r="B28" s="921" t="str">
        <f>IF(Intro!$G$21="English",O28,P28)</f>
        <v xml:space="preserve">All Other Direct Materials Used </v>
      </c>
      <c r="C28" s="922"/>
      <c r="D28" s="922"/>
      <c r="E28" s="923"/>
      <c r="F28" s="206" t="s">
        <v>560</v>
      </c>
      <c r="G28" s="263"/>
      <c r="H28" s="263"/>
      <c r="I28" s="263"/>
      <c r="J28" s="263"/>
      <c r="K28" s="263"/>
      <c r="L28" s="273"/>
      <c r="M28" s="2"/>
      <c r="O28" s="2" t="s">
        <v>59</v>
      </c>
      <c r="P28" s="2" t="s">
        <v>60</v>
      </c>
    </row>
    <row r="29" spans="2:16" ht="14.1" customHeight="1" x14ac:dyDescent="0.25">
      <c r="B29" s="717" t="str">
        <f>IF(Intro!$G$21="English",O29,P29)</f>
        <v>Total - Materials</v>
      </c>
      <c r="C29" s="718"/>
      <c r="D29" s="718"/>
      <c r="E29" s="719"/>
      <c r="F29" s="206" t="s">
        <v>560</v>
      </c>
      <c r="G29" s="270">
        <f>SUM(G25:G28)</f>
        <v>0</v>
      </c>
      <c r="H29" s="270">
        <f t="shared" ref="H29:K29" si="0">SUM(H25:H28)</f>
        <v>0</v>
      </c>
      <c r="I29" s="270">
        <f t="shared" si="0"/>
        <v>0</v>
      </c>
      <c r="J29" s="270">
        <f t="shared" si="0"/>
        <v>0</v>
      </c>
      <c r="K29" s="270">
        <f t="shared" si="0"/>
        <v>0</v>
      </c>
      <c r="L29" s="273"/>
      <c r="M29" s="2"/>
      <c r="O29" s="2" t="s">
        <v>805</v>
      </c>
      <c r="P29" s="2" t="s">
        <v>806</v>
      </c>
    </row>
    <row r="30" spans="2:16" x14ac:dyDescent="0.25">
      <c r="B30" s="717" t="str">
        <f>IF(Intro!$G$21="English",O30,P30)</f>
        <v>Direct Employment Wages Paid</v>
      </c>
      <c r="C30" s="718"/>
      <c r="D30" s="718"/>
      <c r="E30" s="719"/>
      <c r="F30" s="206" t="s">
        <v>560</v>
      </c>
      <c r="G30" s="263"/>
      <c r="H30" s="263"/>
      <c r="I30" s="263"/>
      <c r="J30" s="263"/>
      <c r="K30" s="263"/>
      <c r="L30" s="273"/>
      <c r="M30" s="2"/>
      <c r="O30" s="2" t="s">
        <v>61</v>
      </c>
      <c r="P30" s="2" t="s">
        <v>62</v>
      </c>
    </row>
    <row r="31" spans="2:16" x14ac:dyDescent="0.25">
      <c r="B31" s="717" t="str">
        <f>IF(Intro!$G$21="English",O31,P31)</f>
        <v xml:space="preserve">Factory overhead </v>
      </c>
      <c r="C31" s="718"/>
      <c r="D31" s="718"/>
      <c r="E31" s="719"/>
      <c r="F31" s="206" t="s">
        <v>560</v>
      </c>
      <c r="G31" s="263"/>
      <c r="H31" s="263"/>
      <c r="I31" s="263"/>
      <c r="J31" s="263"/>
      <c r="K31" s="263"/>
      <c r="L31" s="273"/>
      <c r="M31" s="2"/>
      <c r="O31" s="2" t="s">
        <v>419</v>
      </c>
      <c r="P31" s="2" t="s">
        <v>63</v>
      </c>
    </row>
    <row r="32" spans="2:16" x14ac:dyDescent="0.25">
      <c r="B32" s="717" t="str">
        <f>IF(Intro!$G$21="English",O32,P32)</f>
        <v>Ending Inventory of Goods in Process</v>
      </c>
      <c r="C32" s="718"/>
      <c r="D32" s="718"/>
      <c r="E32" s="719"/>
      <c r="F32" s="206" t="s">
        <v>560</v>
      </c>
      <c r="G32" s="263"/>
      <c r="H32" s="263"/>
      <c r="I32" s="263"/>
      <c r="J32" s="263"/>
      <c r="K32" s="263"/>
      <c r="L32" s="273"/>
      <c r="M32" s="2"/>
      <c r="O32" s="2" t="s">
        <v>215</v>
      </c>
      <c r="P32" s="2" t="s">
        <v>593</v>
      </c>
    </row>
    <row r="33" spans="1:16" s="3" customFormat="1" x14ac:dyDescent="0.25">
      <c r="A33" s="18"/>
      <c r="B33" s="970" t="str">
        <f>IF(Intro!$G$21="English",O33,P33)</f>
        <v>Cost of Goods Manufactured</v>
      </c>
      <c r="C33" s="971"/>
      <c r="D33" s="971"/>
      <c r="E33" s="972"/>
      <c r="F33" s="206" t="s">
        <v>560</v>
      </c>
      <c r="G33" s="264">
        <f>G24+G29+G30+G31-G32</f>
        <v>0</v>
      </c>
      <c r="H33" s="264">
        <f t="shared" ref="H33:K33" si="1">H24+H29+H30+H31-H32</f>
        <v>0</v>
      </c>
      <c r="I33" s="264">
        <f t="shared" si="1"/>
        <v>0</v>
      </c>
      <c r="J33" s="264">
        <f t="shared" si="1"/>
        <v>0</v>
      </c>
      <c r="K33" s="264">
        <f t="shared" si="1"/>
        <v>0</v>
      </c>
      <c r="L33" s="240"/>
      <c r="O33" s="3" t="s">
        <v>64</v>
      </c>
      <c r="P33" s="3" t="s">
        <v>65</v>
      </c>
    </row>
    <row r="34" spans="1:16" x14ac:dyDescent="0.25">
      <c r="B34" s="159"/>
      <c r="C34" s="160"/>
      <c r="D34" s="2"/>
      <c r="E34" s="2"/>
      <c r="F34" s="2"/>
      <c r="G34" s="25"/>
      <c r="H34" s="26"/>
      <c r="I34" s="26"/>
      <c r="J34" s="26"/>
      <c r="K34" s="26"/>
      <c r="L34" s="27"/>
      <c r="M34" s="2"/>
      <c r="O34" s="11"/>
    </row>
    <row r="35" spans="1:16" s="3" customFormat="1" ht="14.1" customHeight="1" x14ac:dyDescent="0.25">
      <c r="A35" s="18"/>
      <c r="B35" s="612" t="str">
        <f>IF(Intro!$G$21="English",O35,P35)</f>
        <v>Explain any large changes between periods and any irregularities such as negative amounts in the amounts reported above.</v>
      </c>
      <c r="C35" s="613"/>
      <c r="D35" s="613"/>
      <c r="E35" s="613"/>
      <c r="F35" s="613"/>
      <c r="G35" s="613"/>
      <c r="H35" s="613"/>
      <c r="I35" s="613"/>
      <c r="J35" s="613"/>
      <c r="K35" s="613"/>
      <c r="L35" s="614"/>
      <c r="O35" s="2" t="s">
        <v>709</v>
      </c>
      <c r="P35" s="2" t="s">
        <v>804</v>
      </c>
    </row>
    <row r="36" spans="1:16" s="3" customFormat="1" x14ac:dyDescent="0.25">
      <c r="A36" s="18"/>
      <c r="B36" s="164"/>
      <c r="C36" s="151"/>
      <c r="D36" s="151"/>
      <c r="E36" s="151"/>
      <c r="F36" s="151"/>
      <c r="L36" s="240"/>
    </row>
    <row r="37" spans="1:16" s="3" customFormat="1" x14ac:dyDescent="0.25">
      <c r="A37" s="18"/>
      <c r="B37" s="927"/>
      <c r="C37" s="928"/>
      <c r="D37" s="928"/>
      <c r="E37" s="928"/>
      <c r="F37" s="928"/>
      <c r="G37" s="928"/>
      <c r="H37" s="928"/>
      <c r="I37" s="928"/>
      <c r="J37" s="928"/>
      <c r="K37" s="928"/>
      <c r="L37" s="929"/>
    </row>
    <row r="38" spans="1:16" s="3" customFormat="1" x14ac:dyDescent="0.25">
      <c r="A38" s="18"/>
      <c r="B38" s="927"/>
      <c r="C38" s="928"/>
      <c r="D38" s="928"/>
      <c r="E38" s="928"/>
      <c r="F38" s="928"/>
      <c r="G38" s="928"/>
      <c r="H38" s="928"/>
      <c r="I38" s="928"/>
      <c r="J38" s="928"/>
      <c r="K38" s="928"/>
      <c r="L38" s="929"/>
      <c r="O38" s="2"/>
      <c r="P38" s="2"/>
    </row>
    <row r="39" spans="1:16" s="3" customFormat="1" x14ac:dyDescent="0.25">
      <c r="A39" s="18"/>
      <c r="B39" s="927"/>
      <c r="C39" s="928"/>
      <c r="D39" s="928"/>
      <c r="E39" s="928"/>
      <c r="F39" s="928"/>
      <c r="G39" s="928"/>
      <c r="H39" s="928"/>
      <c r="I39" s="928"/>
      <c r="J39" s="928"/>
      <c r="K39" s="928"/>
      <c r="L39" s="929"/>
      <c r="O39" s="2"/>
      <c r="P39" s="2"/>
    </row>
    <row r="40" spans="1:16" s="3" customFormat="1" x14ac:dyDescent="0.25">
      <c r="A40" s="18"/>
      <c r="B40" s="927"/>
      <c r="C40" s="928"/>
      <c r="D40" s="928"/>
      <c r="E40" s="928"/>
      <c r="F40" s="928"/>
      <c r="G40" s="928"/>
      <c r="H40" s="928"/>
      <c r="I40" s="928"/>
      <c r="J40" s="928"/>
      <c r="K40" s="928"/>
      <c r="L40" s="929"/>
      <c r="O40" s="2"/>
      <c r="P40" s="2"/>
    </row>
    <row r="41" spans="1:16" s="3" customFormat="1" x14ac:dyDescent="0.25">
      <c r="A41" s="18"/>
      <c r="B41" s="927"/>
      <c r="C41" s="928"/>
      <c r="D41" s="928"/>
      <c r="E41" s="928"/>
      <c r="F41" s="928"/>
      <c r="G41" s="928"/>
      <c r="H41" s="928"/>
      <c r="I41" s="928"/>
      <c r="J41" s="928"/>
      <c r="K41" s="928"/>
      <c r="L41" s="929"/>
    </row>
    <row r="42" spans="1:16" s="3" customFormat="1" x14ac:dyDescent="0.25">
      <c r="A42" s="18"/>
      <c r="B42" s="927"/>
      <c r="C42" s="928"/>
      <c r="D42" s="928"/>
      <c r="E42" s="928"/>
      <c r="F42" s="928"/>
      <c r="G42" s="928"/>
      <c r="H42" s="928"/>
      <c r="I42" s="928"/>
      <c r="J42" s="928"/>
      <c r="K42" s="928"/>
      <c r="L42" s="929"/>
    </row>
    <row r="43" spans="1:16" s="3" customFormat="1" x14ac:dyDescent="0.25">
      <c r="A43" s="18"/>
      <c r="B43" s="927"/>
      <c r="C43" s="928"/>
      <c r="D43" s="928"/>
      <c r="E43" s="928"/>
      <c r="F43" s="928"/>
      <c r="G43" s="928"/>
      <c r="H43" s="928"/>
      <c r="I43" s="928"/>
      <c r="J43" s="928"/>
      <c r="K43" s="928"/>
      <c r="L43" s="929"/>
    </row>
    <row r="44" spans="1:16" s="3" customFormat="1" x14ac:dyDescent="0.25">
      <c r="A44" s="18"/>
      <c r="B44" s="927"/>
      <c r="C44" s="928"/>
      <c r="D44" s="928"/>
      <c r="E44" s="928"/>
      <c r="F44" s="928"/>
      <c r="G44" s="928"/>
      <c r="H44" s="928"/>
      <c r="I44" s="928"/>
      <c r="J44" s="928"/>
      <c r="K44" s="928"/>
      <c r="L44" s="929"/>
    </row>
    <row r="45" spans="1:16" x14ac:dyDescent="0.25">
      <c r="B45" s="159"/>
      <c r="C45" s="160"/>
      <c r="D45" s="2"/>
      <c r="E45" s="2"/>
      <c r="F45" s="2"/>
      <c r="G45" s="25"/>
      <c r="H45" s="26"/>
      <c r="I45" s="26"/>
      <c r="J45" s="26"/>
      <c r="K45" s="26"/>
      <c r="L45" s="27"/>
      <c r="M45" s="2"/>
      <c r="O45" s="11"/>
    </row>
    <row r="46" spans="1:16" x14ac:dyDescent="0.25">
      <c r="B46" s="933" t="str">
        <f>IF(Intro!$G$21="English",O46,P46)</f>
        <v>For Export Sales</v>
      </c>
      <c r="C46" s="934"/>
      <c r="D46" s="934"/>
      <c r="E46" s="934"/>
      <c r="F46" s="935"/>
      <c r="G46" s="826">
        <f>Variables!$B$6</f>
        <v>2023</v>
      </c>
      <c r="H46" s="826">
        <f>G46+1</f>
        <v>2024</v>
      </c>
      <c r="I46" s="826">
        <f>H46+1</f>
        <v>2025</v>
      </c>
      <c r="J46" s="826" t="str">
        <f>J21</f>
        <v>Jan-Mar 2025</v>
      </c>
      <c r="K46" s="806" t="str">
        <f>K21</f>
        <v>Jan-Mar 2026</v>
      </c>
      <c r="L46" s="273"/>
      <c r="M46" s="2"/>
      <c r="O46" s="11" t="s">
        <v>216</v>
      </c>
      <c r="P46" s="11" t="s">
        <v>217</v>
      </c>
    </row>
    <row r="47" spans="1:16" x14ac:dyDescent="0.25">
      <c r="B47" s="936"/>
      <c r="C47" s="937"/>
      <c r="D47" s="937"/>
      <c r="E47" s="937"/>
      <c r="F47" s="938"/>
      <c r="G47" s="827"/>
      <c r="H47" s="827"/>
      <c r="I47" s="827"/>
      <c r="J47" s="827"/>
      <c r="K47" s="806"/>
      <c r="L47" s="273"/>
      <c r="M47" s="2"/>
      <c r="O47" s="11"/>
      <c r="P47" s="11"/>
    </row>
    <row r="48" spans="1:16" x14ac:dyDescent="0.25">
      <c r="B48" s="717" t="str">
        <f>'Pro 1'!B21</f>
        <v>Production for export sales</v>
      </c>
      <c r="C48" s="718"/>
      <c r="D48" s="718"/>
      <c r="E48" s="719"/>
      <c r="F48" s="206" t="str">
        <f>'Pro 1'!F21</f>
        <v>MSF</v>
      </c>
      <c r="G48" s="270">
        <f>'Pro 1'!G21</f>
        <v>0</v>
      </c>
      <c r="H48" s="270">
        <f>'Pro 1'!H21</f>
        <v>0</v>
      </c>
      <c r="I48" s="270">
        <f>'Pro 1'!I21</f>
        <v>0</v>
      </c>
      <c r="J48" s="270">
        <f>'Pro 1'!J21</f>
        <v>0</v>
      </c>
      <c r="K48" s="270">
        <f>'Pro 1'!K21</f>
        <v>0</v>
      </c>
      <c r="L48" s="273"/>
      <c r="M48" s="2"/>
      <c r="O48" s="11"/>
      <c r="P48" s="11"/>
    </row>
    <row r="49" spans="1:16" x14ac:dyDescent="0.25">
      <c r="B49" s="717" t="str">
        <f t="shared" ref="B49:B58" si="2">B24</f>
        <v xml:space="preserve">Beginning Inventory of Goods in Process </v>
      </c>
      <c r="C49" s="718"/>
      <c r="D49" s="718"/>
      <c r="E49" s="719"/>
      <c r="F49" s="214" t="s">
        <v>560</v>
      </c>
      <c r="G49" s="267"/>
      <c r="H49" s="267"/>
      <c r="I49" s="267"/>
      <c r="J49" s="267"/>
      <c r="K49" s="267"/>
      <c r="L49" s="273"/>
      <c r="M49" s="2"/>
    </row>
    <row r="50" spans="1:16" x14ac:dyDescent="0.25">
      <c r="B50" s="921" t="str">
        <f t="shared" si="2"/>
        <v xml:space="preserve">Direct material used 1 - </v>
      </c>
      <c r="C50" s="922"/>
      <c r="D50" s="922"/>
      <c r="E50" s="923"/>
      <c r="F50" s="214" t="s">
        <v>560</v>
      </c>
      <c r="G50" s="267"/>
      <c r="H50" s="267"/>
      <c r="I50" s="267"/>
      <c r="J50" s="267"/>
      <c r="K50" s="267"/>
      <c r="L50" s="273"/>
      <c r="M50" s="2"/>
      <c r="O50" s="11"/>
    </row>
    <row r="51" spans="1:16" x14ac:dyDescent="0.25">
      <c r="B51" s="921" t="str">
        <f t="shared" si="2"/>
        <v xml:space="preserve">Direct material used 2 - </v>
      </c>
      <c r="C51" s="922"/>
      <c r="D51" s="922"/>
      <c r="E51" s="923"/>
      <c r="F51" s="214" t="s">
        <v>560</v>
      </c>
      <c r="G51" s="267"/>
      <c r="H51" s="267"/>
      <c r="I51" s="267"/>
      <c r="J51" s="267"/>
      <c r="K51" s="267"/>
      <c r="L51" s="273"/>
      <c r="M51" s="2"/>
      <c r="O51" s="11"/>
    </row>
    <row r="52" spans="1:16" x14ac:dyDescent="0.25">
      <c r="B52" s="921" t="str">
        <f t="shared" si="2"/>
        <v xml:space="preserve">Direct material used 3 - </v>
      </c>
      <c r="C52" s="922"/>
      <c r="D52" s="922"/>
      <c r="E52" s="923"/>
      <c r="F52" s="214" t="s">
        <v>560</v>
      </c>
      <c r="G52" s="267"/>
      <c r="H52" s="267"/>
      <c r="I52" s="267"/>
      <c r="J52" s="267"/>
      <c r="K52" s="267"/>
      <c r="L52" s="273"/>
      <c r="M52" s="2"/>
      <c r="O52" s="11"/>
    </row>
    <row r="53" spans="1:16" x14ac:dyDescent="0.25">
      <c r="B53" s="921" t="str">
        <f t="shared" si="2"/>
        <v xml:space="preserve">All Other Direct Materials Used </v>
      </c>
      <c r="C53" s="922"/>
      <c r="D53" s="922"/>
      <c r="E53" s="923"/>
      <c r="F53" s="214" t="s">
        <v>560</v>
      </c>
      <c r="G53" s="267"/>
      <c r="H53" s="267"/>
      <c r="I53" s="267"/>
      <c r="J53" s="267"/>
      <c r="K53" s="267"/>
      <c r="L53" s="273"/>
      <c r="M53" s="2"/>
    </row>
    <row r="54" spans="1:16" ht="14.1" customHeight="1" x14ac:dyDescent="0.25">
      <c r="B54" s="717" t="str">
        <f t="shared" si="2"/>
        <v>Total - Materials</v>
      </c>
      <c r="C54" s="718"/>
      <c r="D54" s="718"/>
      <c r="E54" s="719"/>
      <c r="F54" s="206" t="s">
        <v>560</v>
      </c>
      <c r="G54" s="270">
        <f>SUM(G50:G53)</f>
        <v>0</v>
      </c>
      <c r="H54" s="270">
        <f t="shared" ref="H54:K54" si="3">SUM(H50:H53)</f>
        <v>0</v>
      </c>
      <c r="I54" s="270">
        <f t="shared" si="3"/>
        <v>0</v>
      </c>
      <c r="J54" s="270">
        <f t="shared" si="3"/>
        <v>0</v>
      </c>
      <c r="K54" s="270">
        <f t="shared" si="3"/>
        <v>0</v>
      </c>
      <c r="L54" s="273"/>
      <c r="M54" s="2"/>
    </row>
    <row r="55" spans="1:16" x14ac:dyDescent="0.25">
      <c r="B55" s="717" t="str">
        <f t="shared" si="2"/>
        <v>Direct Employment Wages Paid</v>
      </c>
      <c r="C55" s="718"/>
      <c r="D55" s="718"/>
      <c r="E55" s="719"/>
      <c r="F55" s="214" t="s">
        <v>560</v>
      </c>
      <c r="G55" s="267"/>
      <c r="H55" s="267"/>
      <c r="I55" s="267"/>
      <c r="J55" s="267"/>
      <c r="K55" s="267"/>
      <c r="L55" s="273"/>
      <c r="M55" s="2"/>
    </row>
    <row r="56" spans="1:16" x14ac:dyDescent="0.25">
      <c r="B56" s="717" t="str">
        <f t="shared" si="2"/>
        <v xml:space="preserve">Factory overhead </v>
      </c>
      <c r="C56" s="718"/>
      <c r="D56" s="718"/>
      <c r="E56" s="719"/>
      <c r="F56" s="214" t="s">
        <v>560</v>
      </c>
      <c r="G56" s="267"/>
      <c r="H56" s="267"/>
      <c r="I56" s="267"/>
      <c r="J56" s="267"/>
      <c r="K56" s="267"/>
      <c r="L56" s="273"/>
      <c r="M56" s="2"/>
    </row>
    <row r="57" spans="1:16" x14ac:dyDescent="0.25">
      <c r="B57" s="717" t="str">
        <f t="shared" si="2"/>
        <v>Ending Inventory of Goods in Process</v>
      </c>
      <c r="C57" s="718"/>
      <c r="D57" s="718"/>
      <c r="E57" s="719"/>
      <c r="F57" s="214" t="s">
        <v>560</v>
      </c>
      <c r="G57" s="267"/>
      <c r="H57" s="267"/>
      <c r="I57" s="267"/>
      <c r="J57" s="267"/>
      <c r="K57" s="267"/>
      <c r="L57" s="273"/>
      <c r="M57" s="2"/>
    </row>
    <row r="58" spans="1:16" s="3" customFormat="1" x14ac:dyDescent="0.25">
      <c r="A58" s="18"/>
      <c r="B58" s="970" t="str">
        <f t="shared" si="2"/>
        <v>Cost of Goods Manufactured</v>
      </c>
      <c r="C58" s="971"/>
      <c r="D58" s="971"/>
      <c r="E58" s="972"/>
      <c r="F58" s="214" t="s">
        <v>560</v>
      </c>
      <c r="G58" s="264">
        <f>G49+G54+G55+G56-G57</f>
        <v>0</v>
      </c>
      <c r="H58" s="264">
        <f t="shared" ref="H58:K58" si="4">H49+H54+H55+H56-H57</f>
        <v>0</v>
      </c>
      <c r="I58" s="264">
        <f t="shared" si="4"/>
        <v>0</v>
      </c>
      <c r="J58" s="264">
        <f t="shared" si="4"/>
        <v>0</v>
      </c>
      <c r="K58" s="264">
        <f t="shared" si="4"/>
        <v>0</v>
      </c>
      <c r="L58" s="240"/>
    </row>
    <row r="59" spans="1:16" x14ac:dyDescent="0.25">
      <c r="B59" s="170"/>
      <c r="C59" s="171"/>
      <c r="D59" s="171"/>
      <c r="E59" s="171"/>
      <c r="F59" s="171"/>
      <c r="G59" s="171"/>
      <c r="H59" s="171"/>
      <c r="I59" s="171"/>
      <c r="J59" s="171"/>
      <c r="K59" s="171"/>
      <c r="L59" s="172"/>
      <c r="M59" s="2"/>
    </row>
    <row r="60" spans="1:16" s="3" customFormat="1" x14ac:dyDescent="0.25">
      <c r="A60" s="18"/>
      <c r="B60" s="612" t="str">
        <f>B35</f>
        <v>Explain any large changes between periods and any irregularities such as negative amounts in the amounts reported above.</v>
      </c>
      <c r="C60" s="613"/>
      <c r="D60" s="613"/>
      <c r="E60" s="613"/>
      <c r="F60" s="613"/>
      <c r="G60" s="613"/>
      <c r="H60" s="613"/>
      <c r="I60" s="613"/>
      <c r="J60" s="613"/>
      <c r="K60" s="613"/>
      <c r="L60" s="614"/>
      <c r="O60" s="2"/>
      <c r="P60" s="2"/>
    </row>
    <row r="61" spans="1:16" s="3" customFormat="1" x14ac:dyDescent="0.25">
      <c r="A61" s="18"/>
      <c r="B61" s="164"/>
      <c r="C61" s="151"/>
      <c r="D61" s="151"/>
      <c r="E61" s="151"/>
      <c r="F61" s="151"/>
      <c r="L61" s="240"/>
    </row>
    <row r="62" spans="1:16" s="3" customFormat="1" x14ac:dyDescent="0.25">
      <c r="A62" s="18"/>
      <c r="B62" s="927"/>
      <c r="C62" s="928"/>
      <c r="D62" s="928"/>
      <c r="E62" s="928"/>
      <c r="F62" s="928"/>
      <c r="G62" s="928"/>
      <c r="H62" s="928"/>
      <c r="I62" s="928"/>
      <c r="J62" s="928"/>
      <c r="K62" s="928"/>
      <c r="L62" s="929"/>
    </row>
    <row r="63" spans="1:16" s="3" customFormat="1" x14ac:dyDescent="0.25">
      <c r="A63" s="18"/>
      <c r="B63" s="927"/>
      <c r="C63" s="928"/>
      <c r="D63" s="928"/>
      <c r="E63" s="928"/>
      <c r="F63" s="928"/>
      <c r="G63" s="928"/>
      <c r="H63" s="928"/>
      <c r="I63" s="928"/>
      <c r="J63" s="928"/>
      <c r="K63" s="928"/>
      <c r="L63" s="929"/>
      <c r="O63" s="2"/>
      <c r="P63" s="2"/>
    </row>
    <row r="64" spans="1:16" s="3" customFormat="1" x14ac:dyDescent="0.25">
      <c r="A64" s="18"/>
      <c r="B64" s="927"/>
      <c r="C64" s="928"/>
      <c r="D64" s="928"/>
      <c r="E64" s="928"/>
      <c r="F64" s="928"/>
      <c r="G64" s="928"/>
      <c r="H64" s="928"/>
      <c r="I64" s="928"/>
      <c r="J64" s="928"/>
      <c r="K64" s="928"/>
      <c r="L64" s="929"/>
      <c r="O64" s="2"/>
      <c r="P64" s="2"/>
    </row>
    <row r="65" spans="1:16" s="3" customFormat="1" x14ac:dyDescent="0.25">
      <c r="A65" s="18"/>
      <c r="B65" s="927"/>
      <c r="C65" s="928"/>
      <c r="D65" s="928"/>
      <c r="E65" s="928"/>
      <c r="F65" s="928"/>
      <c r="G65" s="928"/>
      <c r="H65" s="928"/>
      <c r="I65" s="928"/>
      <c r="J65" s="928"/>
      <c r="K65" s="928"/>
      <c r="L65" s="929"/>
      <c r="O65" s="2"/>
      <c r="P65" s="2"/>
    </row>
    <row r="66" spans="1:16" s="3" customFormat="1" x14ac:dyDescent="0.25">
      <c r="A66" s="18"/>
      <c r="B66" s="927"/>
      <c r="C66" s="928"/>
      <c r="D66" s="928"/>
      <c r="E66" s="928"/>
      <c r="F66" s="928"/>
      <c r="G66" s="928"/>
      <c r="H66" s="928"/>
      <c r="I66" s="928"/>
      <c r="J66" s="928"/>
      <c r="K66" s="928"/>
      <c r="L66" s="929"/>
    </row>
    <row r="67" spans="1:16" s="3" customFormat="1" x14ac:dyDescent="0.25">
      <c r="A67" s="18"/>
      <c r="B67" s="927"/>
      <c r="C67" s="928"/>
      <c r="D67" s="928"/>
      <c r="E67" s="928"/>
      <c r="F67" s="928"/>
      <c r="G67" s="928"/>
      <c r="H67" s="928"/>
      <c r="I67" s="928"/>
      <c r="J67" s="928"/>
      <c r="K67" s="928"/>
      <c r="L67" s="929"/>
    </row>
    <row r="68" spans="1:16" s="3" customFormat="1" x14ac:dyDescent="0.25">
      <c r="A68" s="18"/>
      <c r="B68" s="927"/>
      <c r="C68" s="928"/>
      <c r="D68" s="928"/>
      <c r="E68" s="928"/>
      <c r="F68" s="928"/>
      <c r="G68" s="928"/>
      <c r="H68" s="928"/>
      <c r="I68" s="928"/>
      <c r="J68" s="928"/>
      <c r="K68" s="928"/>
      <c r="L68" s="929"/>
    </row>
    <row r="69" spans="1:16" s="3" customFormat="1" x14ac:dyDescent="0.25">
      <c r="A69" s="18"/>
      <c r="B69" s="927"/>
      <c r="C69" s="928"/>
      <c r="D69" s="928"/>
      <c r="E69" s="928"/>
      <c r="F69" s="928"/>
      <c r="G69" s="928"/>
      <c r="H69" s="928"/>
      <c r="I69" s="928"/>
      <c r="J69" s="928"/>
      <c r="K69" s="928"/>
      <c r="L69" s="929"/>
    </row>
    <row r="70" spans="1:16" x14ac:dyDescent="0.25">
      <c r="B70" s="159"/>
      <c r="C70" s="160"/>
      <c r="D70" s="2"/>
      <c r="E70" s="2"/>
      <c r="F70" s="2"/>
      <c r="G70" s="25"/>
      <c r="H70" s="26"/>
      <c r="I70" s="26"/>
      <c r="J70" s="26"/>
      <c r="K70" s="26"/>
      <c r="L70" s="27"/>
      <c r="M70" s="2"/>
      <c r="O70" s="11"/>
    </row>
    <row r="71" spans="1:16" s="3" customFormat="1" x14ac:dyDescent="0.25">
      <c r="A71" s="12"/>
      <c r="B71" s="711" t="s">
        <v>21</v>
      </c>
      <c r="C71" s="712"/>
      <c r="D71" s="712"/>
      <c r="E71" s="712"/>
      <c r="F71" s="712"/>
      <c r="G71" s="712"/>
      <c r="H71" s="712"/>
      <c r="I71" s="712"/>
      <c r="J71" s="712"/>
      <c r="K71" s="712"/>
      <c r="L71" s="713"/>
      <c r="M71" s="168"/>
    </row>
    <row r="72" spans="1:16" x14ac:dyDescent="0.25">
      <c r="B72" s="170"/>
      <c r="C72" s="171"/>
      <c r="D72" s="171"/>
      <c r="E72" s="171"/>
      <c r="F72" s="171"/>
      <c r="G72" s="171"/>
      <c r="H72" s="171"/>
      <c r="I72" s="171"/>
      <c r="J72" s="171"/>
      <c r="K72" s="171"/>
      <c r="L72" s="172"/>
      <c r="M72" s="2"/>
    </row>
    <row r="73" spans="1:16" x14ac:dyDescent="0.25">
      <c r="B73" s="634" t="str">
        <f>IF(Intro!$G$21="English",O73,P73)</f>
        <v>Describe your firm’s plans to manage the cost of direct materials for the next two years. Provide the rationale and assumptions underlying these strategies and objectives.</v>
      </c>
      <c r="C73" s="635"/>
      <c r="D73" s="635"/>
      <c r="E73" s="635"/>
      <c r="F73" s="635"/>
      <c r="G73" s="635"/>
      <c r="H73" s="635"/>
      <c r="I73" s="635"/>
      <c r="J73" s="635"/>
      <c r="K73" s="635"/>
      <c r="L73" s="636"/>
      <c r="M73" s="2"/>
      <c r="O73" s="2" t="s">
        <v>561</v>
      </c>
      <c r="P73" s="2" t="s">
        <v>257</v>
      </c>
    </row>
    <row r="74" spans="1:16" x14ac:dyDescent="0.25">
      <c r="B74" s="170"/>
      <c r="C74" s="171"/>
      <c r="D74" s="171"/>
      <c r="E74" s="171"/>
      <c r="F74" s="171"/>
      <c r="G74" s="171"/>
      <c r="H74" s="171"/>
      <c r="I74" s="171"/>
      <c r="J74" s="171"/>
      <c r="K74" s="171"/>
      <c r="L74" s="172"/>
      <c r="M74" s="2"/>
    </row>
    <row r="75" spans="1:16" s="3" customFormat="1" x14ac:dyDescent="0.25">
      <c r="A75" s="12"/>
      <c r="B75" s="705"/>
      <c r="C75" s="706"/>
      <c r="D75" s="706"/>
      <c r="E75" s="706"/>
      <c r="F75" s="706"/>
      <c r="G75" s="706"/>
      <c r="H75" s="706"/>
      <c r="I75" s="706"/>
      <c r="J75" s="706"/>
      <c r="K75" s="706"/>
      <c r="L75" s="707"/>
      <c r="M75" s="152"/>
      <c r="O75" s="154"/>
      <c r="P75" s="154"/>
    </row>
    <row r="76" spans="1:16" s="3" customFormat="1" x14ac:dyDescent="0.25">
      <c r="A76" s="12"/>
      <c r="B76" s="705"/>
      <c r="C76" s="706"/>
      <c r="D76" s="706"/>
      <c r="E76" s="706"/>
      <c r="F76" s="706"/>
      <c r="G76" s="706"/>
      <c r="H76" s="706"/>
      <c r="I76" s="706"/>
      <c r="J76" s="706"/>
      <c r="K76" s="706"/>
      <c r="L76" s="707"/>
      <c r="M76" s="152"/>
      <c r="O76" s="154"/>
      <c r="P76" s="154"/>
    </row>
    <row r="77" spans="1:16" s="3" customFormat="1" x14ac:dyDescent="0.25">
      <c r="A77" s="12"/>
      <c r="B77" s="705"/>
      <c r="C77" s="706"/>
      <c r="D77" s="706"/>
      <c r="E77" s="706"/>
      <c r="F77" s="706"/>
      <c r="G77" s="706"/>
      <c r="H77" s="706"/>
      <c r="I77" s="706"/>
      <c r="J77" s="706"/>
      <c r="K77" s="706"/>
      <c r="L77" s="707"/>
      <c r="M77" s="152"/>
      <c r="O77" s="154"/>
      <c r="P77" s="154"/>
    </row>
    <row r="78" spans="1:16" s="3" customFormat="1" x14ac:dyDescent="0.25">
      <c r="A78" s="12"/>
      <c r="B78" s="705"/>
      <c r="C78" s="706"/>
      <c r="D78" s="706"/>
      <c r="E78" s="706"/>
      <c r="F78" s="706"/>
      <c r="G78" s="706"/>
      <c r="H78" s="706"/>
      <c r="I78" s="706"/>
      <c r="J78" s="706"/>
      <c r="K78" s="706"/>
      <c r="L78" s="707"/>
      <c r="M78" s="152"/>
      <c r="O78" s="154"/>
      <c r="P78" s="154"/>
    </row>
    <row r="79" spans="1:16" s="3" customFormat="1" x14ac:dyDescent="0.25">
      <c r="A79" s="12"/>
      <c r="B79" s="705"/>
      <c r="C79" s="706"/>
      <c r="D79" s="706"/>
      <c r="E79" s="706"/>
      <c r="F79" s="706"/>
      <c r="G79" s="706"/>
      <c r="H79" s="706"/>
      <c r="I79" s="706"/>
      <c r="J79" s="706"/>
      <c r="K79" s="706"/>
      <c r="L79" s="707"/>
      <c r="M79" s="152"/>
      <c r="O79" s="154"/>
      <c r="P79" s="154"/>
    </row>
    <row r="80" spans="1:16" s="3" customFormat="1" x14ac:dyDescent="0.25">
      <c r="A80" s="12"/>
      <c r="B80" s="705"/>
      <c r="C80" s="706"/>
      <c r="D80" s="706"/>
      <c r="E80" s="706"/>
      <c r="F80" s="706"/>
      <c r="G80" s="706"/>
      <c r="H80" s="706"/>
      <c r="I80" s="706"/>
      <c r="J80" s="706"/>
      <c r="K80" s="706"/>
      <c r="L80" s="707"/>
      <c r="M80" s="152"/>
      <c r="O80" s="154"/>
      <c r="P80" s="154"/>
    </row>
    <row r="81" spans="1:16" s="3" customFormat="1" x14ac:dyDescent="0.25">
      <c r="A81" s="12"/>
      <c r="B81" s="705"/>
      <c r="C81" s="706"/>
      <c r="D81" s="706"/>
      <c r="E81" s="706"/>
      <c r="F81" s="706"/>
      <c r="G81" s="706"/>
      <c r="H81" s="706"/>
      <c r="I81" s="706"/>
      <c r="J81" s="706"/>
      <c r="K81" s="706"/>
      <c r="L81" s="707"/>
      <c r="M81" s="152"/>
      <c r="O81" s="154"/>
      <c r="P81" s="154"/>
    </row>
    <row r="82" spans="1:16" s="3" customFormat="1" x14ac:dyDescent="0.25">
      <c r="A82" s="12"/>
      <c r="B82" s="705"/>
      <c r="C82" s="706"/>
      <c r="D82" s="706"/>
      <c r="E82" s="706"/>
      <c r="F82" s="706"/>
      <c r="G82" s="706"/>
      <c r="H82" s="706"/>
      <c r="I82" s="706"/>
      <c r="J82" s="706"/>
      <c r="K82" s="706"/>
      <c r="L82" s="707"/>
      <c r="M82" s="152"/>
      <c r="O82" s="154"/>
      <c r="P82" s="154"/>
    </row>
    <row r="83" spans="1:16" x14ac:dyDescent="0.25">
      <c r="B83" s="176"/>
      <c r="C83" s="177"/>
      <c r="D83" s="177"/>
      <c r="E83" s="177"/>
      <c r="F83" s="177"/>
      <c r="G83" s="177"/>
      <c r="H83" s="177"/>
      <c r="I83" s="177"/>
      <c r="J83" s="177"/>
      <c r="K83" s="177"/>
      <c r="L83" s="178"/>
      <c r="M83" s="2"/>
    </row>
    <row r="84" spans="1:16" x14ac:dyDescent="0.25">
      <c r="B84" s="711" t="s">
        <v>26</v>
      </c>
      <c r="C84" s="712"/>
      <c r="D84" s="712"/>
      <c r="E84" s="712"/>
      <c r="F84" s="712"/>
      <c r="G84" s="712"/>
      <c r="H84" s="712"/>
      <c r="I84" s="712"/>
      <c r="J84" s="712"/>
      <c r="K84" s="712"/>
      <c r="L84" s="713"/>
      <c r="M84" s="2"/>
    </row>
    <row r="85" spans="1:16" x14ac:dyDescent="0.25">
      <c r="B85" s="24"/>
      <c r="C85" s="25"/>
      <c r="D85" s="25"/>
      <c r="E85" s="26"/>
      <c r="F85" s="26"/>
      <c r="G85" s="26"/>
      <c r="H85" s="26"/>
      <c r="I85" s="26"/>
      <c r="J85" s="26"/>
      <c r="K85" s="26"/>
      <c r="L85" s="27"/>
      <c r="M85" s="2"/>
    </row>
    <row r="86" spans="1:16" x14ac:dyDescent="0.25">
      <c r="B86" s="612" t="str">
        <f>IF(Intro!$G$21="English",O86,P86)</f>
        <v>Provide your firm's employment, hours worked and wages paid with regard to the production of the goods. Include employment used in the production for domestic sales, for export sales, and for internal use or further processing.</v>
      </c>
      <c r="C86" s="613"/>
      <c r="D86" s="613"/>
      <c r="E86" s="613"/>
      <c r="F86" s="613"/>
      <c r="G86" s="613"/>
      <c r="H86" s="613"/>
      <c r="I86" s="613"/>
      <c r="J86" s="613"/>
      <c r="K86" s="613"/>
      <c r="L86" s="614"/>
      <c r="M86" s="2"/>
      <c r="O86" s="11" t="s">
        <v>218</v>
      </c>
      <c r="P86" s="2" t="s">
        <v>425</v>
      </c>
    </row>
    <row r="87" spans="1:16" x14ac:dyDescent="0.25">
      <c r="B87" s="612"/>
      <c r="C87" s="613"/>
      <c r="D87" s="613"/>
      <c r="E87" s="613"/>
      <c r="F87" s="613"/>
      <c r="G87" s="613"/>
      <c r="H87" s="613"/>
      <c r="I87" s="613"/>
      <c r="J87" s="613"/>
      <c r="K87" s="613"/>
      <c r="L87" s="614"/>
      <c r="M87" s="2"/>
      <c r="O87" s="11"/>
    </row>
    <row r="88" spans="1:16" x14ac:dyDescent="0.25">
      <c r="B88" s="612" t="str">
        <f>IF(Intro!$G$21="English",O88,P88)</f>
        <v>Note - Direct wages paid for domestic sales and exports sales are provided by the response in Question 1 above.</v>
      </c>
      <c r="C88" s="613"/>
      <c r="D88" s="613"/>
      <c r="E88" s="613"/>
      <c r="F88" s="613"/>
      <c r="G88" s="613"/>
      <c r="H88" s="613"/>
      <c r="I88" s="613"/>
      <c r="J88" s="613"/>
      <c r="K88" s="613"/>
      <c r="L88" s="614"/>
      <c r="M88" s="2"/>
      <c r="O88" s="11" t="s">
        <v>867</v>
      </c>
      <c r="P88" s="2" t="s">
        <v>868</v>
      </c>
    </row>
    <row r="89" spans="1:16" x14ac:dyDescent="0.25">
      <c r="B89" s="159"/>
      <c r="C89" s="160"/>
      <c r="D89" s="25"/>
      <c r="E89" s="26"/>
      <c r="F89" s="26"/>
      <c r="G89" s="26"/>
      <c r="H89" s="26"/>
      <c r="I89" s="26"/>
      <c r="J89" s="26"/>
      <c r="K89" s="26"/>
      <c r="L89" s="27"/>
      <c r="M89" s="2"/>
      <c r="O89" s="11"/>
    </row>
    <row r="90" spans="1:16" x14ac:dyDescent="0.25">
      <c r="B90" s="933" t="str">
        <f>IF(Intro!$G$21="English",O90,P90)</f>
        <v>Number of employees</v>
      </c>
      <c r="C90" s="934"/>
      <c r="D90" s="934"/>
      <c r="E90" s="934"/>
      <c r="F90" s="935"/>
      <c r="G90" s="826">
        <f>Variables!$B$6</f>
        <v>2023</v>
      </c>
      <c r="H90" s="826">
        <f>G90+1</f>
        <v>2024</v>
      </c>
      <c r="I90" s="826">
        <f>H90+1</f>
        <v>2025</v>
      </c>
      <c r="J90" s="826" t="str">
        <f>J46</f>
        <v>Jan-Mar 2025</v>
      </c>
      <c r="K90" s="826" t="str">
        <f>K46</f>
        <v>Jan-Mar 2026</v>
      </c>
      <c r="L90" s="273"/>
      <c r="M90" s="2"/>
      <c r="O90" s="11" t="s">
        <v>420</v>
      </c>
      <c r="P90" s="11" t="s">
        <v>219</v>
      </c>
    </row>
    <row r="91" spans="1:16" x14ac:dyDescent="0.25">
      <c r="B91" s="936"/>
      <c r="C91" s="937"/>
      <c r="D91" s="937"/>
      <c r="E91" s="937"/>
      <c r="F91" s="938"/>
      <c r="G91" s="827"/>
      <c r="H91" s="827"/>
      <c r="I91" s="827"/>
      <c r="J91" s="827"/>
      <c r="K91" s="827"/>
      <c r="L91" s="273"/>
      <c r="M91" s="2"/>
      <c r="O91" s="11"/>
      <c r="P91" s="11"/>
    </row>
    <row r="92" spans="1:16" x14ac:dyDescent="0.25">
      <c r="B92" s="921" t="str">
        <f>IF(Intro!$G$21="English",O92,P92)</f>
        <v>Direct Employment</v>
      </c>
      <c r="C92" s="922"/>
      <c r="D92" s="922"/>
      <c r="E92" s="923"/>
      <c r="F92" s="214" t="s">
        <v>220</v>
      </c>
      <c r="G92" s="267"/>
      <c r="H92" s="267"/>
      <c r="I92" s="267"/>
      <c r="J92" s="267"/>
      <c r="K92" s="267"/>
      <c r="L92" s="273"/>
      <c r="M92" s="2"/>
      <c r="O92" s="2" t="s">
        <v>66</v>
      </c>
      <c r="P92" s="2" t="s">
        <v>67</v>
      </c>
    </row>
    <row r="93" spans="1:16" x14ac:dyDescent="0.25">
      <c r="B93" s="921" t="str">
        <f>IF(Intro!$G$21="English",O93,P93)</f>
        <v>Indirect Employment</v>
      </c>
      <c r="C93" s="922"/>
      <c r="D93" s="922"/>
      <c r="E93" s="923"/>
      <c r="F93" s="214" t="s">
        <v>220</v>
      </c>
      <c r="G93" s="267"/>
      <c r="H93" s="267"/>
      <c r="I93" s="267"/>
      <c r="J93" s="267"/>
      <c r="K93" s="267"/>
      <c r="L93" s="273"/>
      <c r="M93" s="2"/>
      <c r="O93" s="11" t="s">
        <v>68</v>
      </c>
      <c r="P93" s="2" t="s">
        <v>69</v>
      </c>
    </row>
    <row r="94" spans="1:16" s="3" customFormat="1" x14ac:dyDescent="0.25">
      <c r="A94" s="18"/>
      <c r="B94" s="918" t="str">
        <f>IF(Intro!$G$21="English",O94,P94)</f>
        <v>Total</v>
      </c>
      <c r="C94" s="919"/>
      <c r="D94" s="919"/>
      <c r="E94" s="920"/>
      <c r="F94" s="217" t="s">
        <v>220</v>
      </c>
      <c r="G94" s="272">
        <f>G92+G93</f>
        <v>0</v>
      </c>
      <c r="H94" s="272">
        <f t="shared" ref="H94:I94" si="5">H92+H93</f>
        <v>0</v>
      </c>
      <c r="I94" s="272">
        <f t="shared" si="5"/>
        <v>0</v>
      </c>
      <c r="J94" s="272">
        <f t="shared" ref="J94:K94" si="6">J92+J93</f>
        <v>0</v>
      </c>
      <c r="K94" s="272">
        <f t="shared" si="6"/>
        <v>0</v>
      </c>
      <c r="L94" s="240"/>
      <c r="O94" s="4" t="s">
        <v>45</v>
      </c>
      <c r="P94" s="4" t="s">
        <v>45</v>
      </c>
    </row>
    <row r="95" spans="1:16" x14ac:dyDescent="0.25">
      <c r="B95" s="159"/>
      <c r="C95" s="160"/>
      <c r="D95" s="2"/>
      <c r="E95" s="2"/>
      <c r="F95" s="148"/>
      <c r="G95" s="149"/>
      <c r="H95" s="149"/>
      <c r="I95" s="149"/>
      <c r="J95" s="149"/>
      <c r="K95" s="278"/>
      <c r="L95" s="273"/>
      <c r="M95" s="2"/>
      <c r="O95" s="11"/>
    </row>
    <row r="96" spans="1:16" x14ac:dyDescent="0.25">
      <c r="B96" s="933" t="str">
        <f>IF(Intro!$G$21="English",O96,P96)</f>
        <v>Number of hours worked</v>
      </c>
      <c r="C96" s="934"/>
      <c r="D96" s="934"/>
      <c r="E96" s="934"/>
      <c r="F96" s="935"/>
      <c r="G96" s="826">
        <f>Variables!$B$6</f>
        <v>2023</v>
      </c>
      <c r="H96" s="826">
        <f>G96+1</f>
        <v>2024</v>
      </c>
      <c r="I96" s="826">
        <f>H96+1</f>
        <v>2025</v>
      </c>
      <c r="J96" s="826" t="str">
        <f>J90</f>
        <v>Jan-Mar 2025</v>
      </c>
      <c r="K96" s="826" t="str">
        <f>K90</f>
        <v>Jan-Mar 2026</v>
      </c>
      <c r="L96" s="273"/>
      <c r="M96" s="2"/>
      <c r="O96" s="11" t="s">
        <v>746</v>
      </c>
      <c r="P96" s="11" t="s">
        <v>221</v>
      </c>
    </row>
    <row r="97" spans="1:16" x14ac:dyDescent="0.25">
      <c r="B97" s="936"/>
      <c r="C97" s="937"/>
      <c r="D97" s="937"/>
      <c r="E97" s="937"/>
      <c r="F97" s="938"/>
      <c r="G97" s="827"/>
      <c r="H97" s="827"/>
      <c r="I97" s="827"/>
      <c r="J97" s="827"/>
      <c r="K97" s="827"/>
      <c r="L97" s="273"/>
      <c r="M97" s="2"/>
      <c r="O97" s="11"/>
      <c r="P97" s="11"/>
    </row>
    <row r="98" spans="1:16" x14ac:dyDescent="0.25">
      <c r="B98" s="921" t="str">
        <f>B92</f>
        <v>Direct Employment</v>
      </c>
      <c r="C98" s="922"/>
      <c r="D98" s="922"/>
      <c r="E98" s="923"/>
      <c r="F98" s="214" t="s">
        <v>220</v>
      </c>
      <c r="G98" s="267"/>
      <c r="H98" s="267"/>
      <c r="I98" s="267"/>
      <c r="J98" s="267"/>
      <c r="K98" s="267"/>
      <c r="L98" s="273"/>
      <c r="M98" s="2"/>
    </row>
    <row r="99" spans="1:16" x14ac:dyDescent="0.25">
      <c r="B99" s="921" t="str">
        <f>B93</f>
        <v>Indirect Employment</v>
      </c>
      <c r="C99" s="922"/>
      <c r="D99" s="922"/>
      <c r="E99" s="923"/>
      <c r="F99" s="214" t="s">
        <v>220</v>
      </c>
      <c r="G99" s="267"/>
      <c r="H99" s="267"/>
      <c r="I99" s="267"/>
      <c r="J99" s="267"/>
      <c r="K99" s="267"/>
      <c r="L99" s="273"/>
      <c r="M99" s="2"/>
      <c r="O99" s="11"/>
    </row>
    <row r="100" spans="1:16" s="3" customFormat="1" x14ac:dyDescent="0.25">
      <c r="A100" s="18"/>
      <c r="B100" s="918" t="str">
        <f>B94</f>
        <v>Total</v>
      </c>
      <c r="C100" s="919"/>
      <c r="D100" s="919"/>
      <c r="E100" s="920"/>
      <c r="F100" s="217" t="s">
        <v>220</v>
      </c>
      <c r="G100" s="272">
        <f>G98+G99</f>
        <v>0</v>
      </c>
      <c r="H100" s="272">
        <f t="shared" ref="H100" si="7">H98+H99</f>
        <v>0</v>
      </c>
      <c r="I100" s="272">
        <f t="shared" ref="I100:J100" si="8">I98+I99</f>
        <v>0</v>
      </c>
      <c r="J100" s="272">
        <f t="shared" si="8"/>
        <v>0</v>
      </c>
      <c r="K100" s="272">
        <f t="shared" ref="K100" si="9">K98+K99</f>
        <v>0</v>
      </c>
      <c r="L100" s="240"/>
      <c r="O100" s="4"/>
      <c r="P100" s="4"/>
    </row>
    <row r="101" spans="1:16" x14ac:dyDescent="0.25">
      <c r="B101" s="159"/>
      <c r="C101" s="160"/>
      <c r="D101" s="2"/>
      <c r="E101" s="2"/>
      <c r="F101" s="148"/>
      <c r="G101" s="149"/>
      <c r="H101" s="149"/>
      <c r="I101" s="149"/>
      <c r="J101" s="149"/>
      <c r="K101" s="278"/>
      <c r="L101" s="273"/>
      <c r="M101" s="2"/>
      <c r="O101" s="11"/>
    </row>
    <row r="102" spans="1:16" x14ac:dyDescent="0.25">
      <c r="B102" s="933" t="str">
        <f>IF(Intro!$G$21="English",O102,P102)</f>
        <v>Wages paid</v>
      </c>
      <c r="C102" s="934"/>
      <c r="D102" s="934"/>
      <c r="E102" s="934"/>
      <c r="F102" s="935"/>
      <c r="G102" s="826">
        <f>Variables!$B$6</f>
        <v>2023</v>
      </c>
      <c r="H102" s="826">
        <f>G102+1</f>
        <v>2024</v>
      </c>
      <c r="I102" s="826">
        <f>H102+1</f>
        <v>2025</v>
      </c>
      <c r="J102" s="826" t="str">
        <f>J96</f>
        <v>Jan-Mar 2025</v>
      </c>
      <c r="K102" s="826" t="str">
        <f>K96</f>
        <v>Jan-Mar 2026</v>
      </c>
      <c r="L102" s="273"/>
      <c r="M102" s="2"/>
      <c r="O102" s="11" t="s">
        <v>421</v>
      </c>
      <c r="P102" s="11" t="s">
        <v>422</v>
      </c>
    </row>
    <row r="103" spans="1:16" x14ac:dyDescent="0.25">
      <c r="B103" s="936"/>
      <c r="C103" s="937"/>
      <c r="D103" s="937"/>
      <c r="E103" s="937"/>
      <c r="F103" s="938"/>
      <c r="G103" s="827"/>
      <c r="H103" s="827"/>
      <c r="I103" s="827"/>
      <c r="J103" s="827"/>
      <c r="K103" s="827"/>
      <c r="L103" s="273"/>
      <c r="M103" s="2"/>
      <c r="O103" s="11"/>
      <c r="P103" s="11"/>
    </row>
    <row r="104" spans="1:16" x14ac:dyDescent="0.25">
      <c r="B104" s="921" t="str">
        <f>IF(Intro!$G$21="English",O104,P104)</f>
        <v>Direct Employment - Domestic and Export Sales</v>
      </c>
      <c r="C104" s="922"/>
      <c r="D104" s="922"/>
      <c r="E104" s="923"/>
      <c r="F104" s="214" t="s">
        <v>560</v>
      </c>
      <c r="G104" s="268">
        <f>G30+G55</f>
        <v>0</v>
      </c>
      <c r="H104" s="268">
        <f>H30+H55</f>
        <v>0</v>
      </c>
      <c r="I104" s="268">
        <f>I30+I55</f>
        <v>0</v>
      </c>
      <c r="J104" s="268">
        <f>J30+J55</f>
        <v>0</v>
      </c>
      <c r="K104" s="268">
        <f>K30+K55</f>
        <v>0</v>
      </c>
      <c r="L104" s="273"/>
      <c r="M104" s="2"/>
      <c r="O104" s="2" t="s">
        <v>222</v>
      </c>
      <c r="P104" s="2" t="s">
        <v>223</v>
      </c>
    </row>
    <row r="105" spans="1:16" x14ac:dyDescent="0.25">
      <c r="B105" s="921" t="str">
        <f>IF(Intro!$G$21="English",O105,P105)</f>
        <v>Direct Employment - Internal Use or Further Internal Processing</v>
      </c>
      <c r="C105" s="922"/>
      <c r="D105" s="922"/>
      <c r="E105" s="923"/>
      <c r="F105" s="214" t="s">
        <v>560</v>
      </c>
      <c r="G105" s="267"/>
      <c r="H105" s="267"/>
      <c r="I105" s="267"/>
      <c r="J105" s="267"/>
      <c r="K105" s="267"/>
      <c r="L105" s="273"/>
      <c r="M105" s="2"/>
      <c r="O105" s="2" t="s">
        <v>224</v>
      </c>
      <c r="P105" s="2" t="s">
        <v>225</v>
      </c>
    </row>
    <row r="106" spans="1:16" x14ac:dyDescent="0.25">
      <c r="B106" s="921" t="str">
        <f>B93</f>
        <v>Indirect Employment</v>
      </c>
      <c r="C106" s="922"/>
      <c r="D106" s="922"/>
      <c r="E106" s="923"/>
      <c r="F106" s="214" t="s">
        <v>560</v>
      </c>
      <c r="G106" s="267"/>
      <c r="H106" s="267"/>
      <c r="I106" s="267"/>
      <c r="J106" s="267"/>
      <c r="K106" s="267"/>
      <c r="L106" s="273"/>
      <c r="M106" s="2"/>
      <c r="O106" s="11"/>
    </row>
    <row r="107" spans="1:16" s="3" customFormat="1" x14ac:dyDescent="0.25">
      <c r="A107" s="18"/>
      <c r="B107" s="918" t="str">
        <f>B94</f>
        <v>Total</v>
      </c>
      <c r="C107" s="919"/>
      <c r="D107" s="919"/>
      <c r="E107" s="920"/>
      <c r="F107" s="214" t="s">
        <v>560</v>
      </c>
      <c r="G107" s="272">
        <f>G104+G105+G106</f>
        <v>0</v>
      </c>
      <c r="H107" s="272">
        <f t="shared" ref="H107:I107" si="10">H104+H105+H106</f>
        <v>0</v>
      </c>
      <c r="I107" s="272">
        <f t="shared" si="10"/>
        <v>0</v>
      </c>
      <c r="J107" s="272">
        <f t="shared" ref="J107:K107" si="11">J104+J105+J106</f>
        <v>0</v>
      </c>
      <c r="K107" s="272">
        <f t="shared" si="11"/>
        <v>0</v>
      </c>
      <c r="L107" s="240"/>
      <c r="O107" s="4"/>
      <c r="P107" s="4"/>
    </row>
    <row r="108" spans="1:16" x14ac:dyDescent="0.25">
      <c r="B108" s="170"/>
      <c r="C108" s="171"/>
      <c r="D108" s="171"/>
      <c r="E108" s="171"/>
      <c r="F108" s="171"/>
      <c r="G108" s="171"/>
      <c r="H108" s="171"/>
      <c r="I108" s="171"/>
      <c r="J108" s="171"/>
      <c r="K108" s="171"/>
      <c r="L108" s="172"/>
      <c r="M108" s="2"/>
    </row>
    <row r="109" spans="1:16" x14ac:dyDescent="0.25">
      <c r="B109" s="612" t="str">
        <f>IF(Intro!$G$21="English",O109,P109)</f>
        <v>Note - The following amounts are calculated using the above responses and the production volume in question 1 of the Pro 1 tab. If the amounts are incorrect, modify your responses to the previous questions.</v>
      </c>
      <c r="C109" s="613"/>
      <c r="D109" s="613"/>
      <c r="E109" s="613"/>
      <c r="F109" s="613"/>
      <c r="G109" s="613"/>
      <c r="H109" s="613"/>
      <c r="I109" s="613"/>
      <c r="J109" s="613"/>
      <c r="K109" s="613"/>
      <c r="L109" s="614"/>
      <c r="M109" s="2"/>
      <c r="O109" s="11" t="s">
        <v>711</v>
      </c>
      <c r="P109" s="2" t="s">
        <v>712</v>
      </c>
    </row>
    <row r="110" spans="1:16" x14ac:dyDescent="0.25">
      <c r="A110" s="41"/>
      <c r="B110" s="612"/>
      <c r="C110" s="613"/>
      <c r="D110" s="613"/>
      <c r="E110" s="613"/>
      <c r="F110" s="613"/>
      <c r="G110" s="613"/>
      <c r="H110" s="613"/>
      <c r="I110" s="613"/>
      <c r="J110" s="613"/>
      <c r="K110" s="613"/>
      <c r="L110" s="614"/>
      <c r="M110" s="2"/>
      <c r="O110" s="11"/>
    </row>
    <row r="111" spans="1:16" x14ac:dyDescent="0.25">
      <c r="B111" s="185"/>
      <c r="C111" s="174"/>
      <c r="D111" s="2"/>
      <c r="E111" s="2"/>
      <c r="F111" s="174"/>
      <c r="G111" s="826">
        <f>Variables!$B$6</f>
        <v>2023</v>
      </c>
      <c r="H111" s="826">
        <f>G111+1</f>
        <v>2024</v>
      </c>
      <c r="I111" s="826">
        <f>H111+1</f>
        <v>2025</v>
      </c>
      <c r="J111" s="826" t="str">
        <f>J102</f>
        <v>Jan-Mar 2025</v>
      </c>
      <c r="K111" s="806" t="str">
        <f>K102</f>
        <v>Jan-Mar 2026</v>
      </c>
      <c r="L111" s="273"/>
      <c r="M111" s="2"/>
      <c r="O111" s="11"/>
      <c r="P111" s="11"/>
    </row>
    <row r="112" spans="1:16" x14ac:dyDescent="0.25">
      <c r="B112" s="185"/>
      <c r="C112" s="174"/>
      <c r="D112" s="2"/>
      <c r="E112" s="2"/>
      <c r="F112" s="218"/>
      <c r="G112" s="827"/>
      <c r="H112" s="827"/>
      <c r="I112" s="827"/>
      <c r="J112" s="827"/>
      <c r="K112" s="806"/>
      <c r="L112" s="273"/>
      <c r="M112" s="2"/>
      <c r="O112" s="11"/>
      <c r="P112" s="11"/>
    </row>
    <row r="113" spans="1:16" x14ac:dyDescent="0.25">
      <c r="B113" s="921" t="str">
        <f>IF(Intro!$G$21="English",O113,P113)</f>
        <v>Production Volume per Direct Employee</v>
      </c>
      <c r="C113" s="922"/>
      <c r="D113" s="922"/>
      <c r="E113" s="923"/>
      <c r="F113" s="214" t="str">
        <f>Variables!B23</f>
        <v>MSF</v>
      </c>
      <c r="G113" s="268">
        <f>IF(G92=0,0,'Pro 1'!G23/'Pro 3'!G92)</f>
        <v>0</v>
      </c>
      <c r="H113" s="268">
        <f>IF(H92=0,0,'Pro 1'!H23/'Pro 3'!H92)</f>
        <v>0</v>
      </c>
      <c r="I113" s="268">
        <f>IF(I92=0,0,'Pro 1'!I23/'Pro 3'!I92)</f>
        <v>0</v>
      </c>
      <c r="J113" s="268">
        <f>IF(J92=0,0,'Pro 1'!J23/'Pro 3'!J92)</f>
        <v>0</v>
      </c>
      <c r="K113" s="268">
        <f>IF(K92=0,0,'Pro 1'!K23/'Pro 3'!K92)</f>
        <v>0</v>
      </c>
      <c r="L113" s="273"/>
      <c r="M113" s="2"/>
      <c r="O113" s="2" t="s">
        <v>226</v>
      </c>
      <c r="P113" s="2" t="s">
        <v>227</v>
      </c>
    </row>
    <row r="114" spans="1:16" x14ac:dyDescent="0.25">
      <c r="B114" s="921" t="str">
        <f>IF(Intro!$G$21="English",O114,P114)</f>
        <v>Production Volume per Direct Employment Hours Worked</v>
      </c>
      <c r="C114" s="922"/>
      <c r="D114" s="922"/>
      <c r="E114" s="923"/>
      <c r="F114" s="214" t="str">
        <f>Variables!B23</f>
        <v>MSF</v>
      </c>
      <c r="G114" s="268">
        <f>IF(G98=0,0,'Pro 1'!G23/'Pro 3'!G98)</f>
        <v>0</v>
      </c>
      <c r="H114" s="268">
        <f>IF(H98=0,0,'Pro 1'!H23/'Pro 3'!H98)</f>
        <v>0</v>
      </c>
      <c r="I114" s="268">
        <f>IF(I98=0,0,'Pro 1'!I23/'Pro 3'!I98)</f>
        <v>0</v>
      </c>
      <c r="J114" s="268">
        <f>IF(J98=0,0,'Pro 1'!J23/'Pro 3'!J98)</f>
        <v>0</v>
      </c>
      <c r="K114" s="268">
        <f>IF(K98=0,0,'Pro 1'!K23/'Pro 3'!K98)</f>
        <v>0</v>
      </c>
      <c r="L114" s="273"/>
      <c r="M114" s="2"/>
      <c r="O114" s="11" t="s">
        <v>228</v>
      </c>
      <c r="P114" s="2" t="s">
        <v>701</v>
      </c>
    </row>
    <row r="115" spans="1:16" x14ac:dyDescent="0.25">
      <c r="B115" s="921" t="str">
        <f>IF(Intro!$G$21="English",O115,P115)</f>
        <v>Total Wages per Direct Employee</v>
      </c>
      <c r="C115" s="922"/>
      <c r="D115" s="922"/>
      <c r="E115" s="923"/>
      <c r="F115" s="214" t="s">
        <v>560</v>
      </c>
      <c r="G115" s="268">
        <f>IF(G92=0,0,(G105+G104)/G92)</f>
        <v>0</v>
      </c>
      <c r="H115" s="268">
        <f>IF(H92=0,0,(H105+H104)/H92)</f>
        <v>0</v>
      </c>
      <c r="I115" s="268">
        <f>IF(I92=0,0,(I105+I104)/I92)</f>
        <v>0</v>
      </c>
      <c r="J115" s="268">
        <f>IF(J92=0,0,(J105+J104)/J92)</f>
        <v>0</v>
      </c>
      <c r="K115" s="268">
        <f>IF(K92=0,0,(K105+K104)/K92)</f>
        <v>0</v>
      </c>
      <c r="L115" s="273"/>
      <c r="M115" s="2"/>
      <c r="O115" s="2" t="s">
        <v>229</v>
      </c>
      <c r="P115" s="2" t="s">
        <v>230</v>
      </c>
    </row>
    <row r="116" spans="1:16" x14ac:dyDescent="0.25">
      <c r="B116" s="921" t="str">
        <f>IF(Intro!$G$21="English",O116,P116)</f>
        <v>Total Wages per Indirect Employee</v>
      </c>
      <c r="C116" s="922"/>
      <c r="D116" s="922"/>
      <c r="E116" s="923"/>
      <c r="F116" s="214" t="s">
        <v>560</v>
      </c>
      <c r="G116" s="268">
        <f>IF(G93=0,0,G106/G93)</f>
        <v>0</v>
      </c>
      <c r="H116" s="268">
        <f>IF(H93=0,0,H106/H93)</f>
        <v>0</v>
      </c>
      <c r="I116" s="268">
        <f>IF(I93=0,0,I106/I93)</f>
        <v>0</v>
      </c>
      <c r="J116" s="268">
        <f>IF(J93=0,0,J106/J93)</f>
        <v>0</v>
      </c>
      <c r="K116" s="268">
        <f>IF(K93=0,0,K106/K93)</f>
        <v>0</v>
      </c>
      <c r="L116" s="273"/>
      <c r="M116" s="2"/>
      <c r="O116" s="2" t="s">
        <v>231</v>
      </c>
      <c r="P116" s="2" t="s">
        <v>232</v>
      </c>
    </row>
    <row r="117" spans="1:16" x14ac:dyDescent="0.25">
      <c r="B117" s="921" t="str">
        <f>IF(Intro!$G$21="English",O117,P117)</f>
        <v>Hourly Wages per Direct Employee</v>
      </c>
      <c r="C117" s="922"/>
      <c r="D117" s="922"/>
      <c r="E117" s="923"/>
      <c r="F117" s="214" t="s">
        <v>560</v>
      </c>
      <c r="G117" s="268">
        <f>IF(G98=0,0,(G104+G105)/G98)</f>
        <v>0</v>
      </c>
      <c r="H117" s="268">
        <f>IF(H98=0,0,(H104+H105)/H98)</f>
        <v>0</v>
      </c>
      <c r="I117" s="268">
        <f>IF(I98=0,0,(I104+I105)/I98)</f>
        <v>0</v>
      </c>
      <c r="J117" s="268">
        <f>IF(J98=0,0,(J104+J105)/J98)</f>
        <v>0</v>
      </c>
      <c r="K117" s="268">
        <f>IF(K98=0,0,(K104+K105)/K98)</f>
        <v>0</v>
      </c>
      <c r="L117" s="273"/>
      <c r="M117" s="2"/>
      <c r="O117" s="2" t="s">
        <v>233</v>
      </c>
      <c r="P117" s="2" t="s">
        <v>423</v>
      </c>
    </row>
    <row r="118" spans="1:16" x14ac:dyDescent="0.25">
      <c r="B118" s="921" t="str">
        <f>IF(Intro!$G$21="English",O118,P118)</f>
        <v>Hourly Wages per Indirect Employee</v>
      </c>
      <c r="C118" s="922"/>
      <c r="D118" s="922"/>
      <c r="E118" s="923"/>
      <c r="F118" s="214" t="s">
        <v>560</v>
      </c>
      <c r="G118" s="268">
        <f>IF(G99=0,0,G106/G99)</f>
        <v>0</v>
      </c>
      <c r="H118" s="268">
        <f>IF(H99=0,0,H106/H99)</f>
        <v>0</v>
      </c>
      <c r="I118" s="268">
        <f>IF(I99=0,0,I106/I99)</f>
        <v>0</v>
      </c>
      <c r="J118" s="268">
        <f>IF(J99=0,0,J106/J99)</f>
        <v>0</v>
      </c>
      <c r="K118" s="268">
        <f>IF(K99=0,0,K106/K99)</f>
        <v>0</v>
      </c>
      <c r="L118" s="273"/>
      <c r="M118" s="2"/>
      <c r="O118" s="2" t="s">
        <v>234</v>
      </c>
      <c r="P118" s="2" t="s">
        <v>424</v>
      </c>
    </row>
    <row r="119" spans="1:16" x14ac:dyDescent="0.25">
      <c r="B119" s="36"/>
      <c r="C119" s="143"/>
      <c r="D119" s="39"/>
      <c r="E119" s="32"/>
      <c r="F119" s="32"/>
      <c r="G119" s="32"/>
      <c r="H119" s="32"/>
      <c r="I119" s="32"/>
      <c r="J119" s="32"/>
      <c r="K119" s="32"/>
      <c r="L119" s="33"/>
      <c r="M119" s="2"/>
      <c r="O119" s="11"/>
    </row>
    <row r="120" spans="1:16" s="3" customFormat="1" x14ac:dyDescent="0.25">
      <c r="A120" s="12"/>
      <c r="B120" s="711" t="s">
        <v>27</v>
      </c>
      <c r="C120" s="712"/>
      <c r="D120" s="712"/>
      <c r="E120" s="712"/>
      <c r="F120" s="712"/>
      <c r="G120" s="712"/>
      <c r="H120" s="712"/>
      <c r="I120" s="712"/>
      <c r="J120" s="712"/>
      <c r="K120" s="712"/>
      <c r="L120" s="713"/>
      <c r="M120" s="168"/>
    </row>
    <row r="121" spans="1:16" x14ac:dyDescent="0.25">
      <c r="B121" s="170"/>
      <c r="C121" s="171"/>
      <c r="D121" s="171"/>
      <c r="E121" s="171"/>
      <c r="F121" s="171"/>
      <c r="G121" s="171"/>
      <c r="H121" s="171"/>
      <c r="I121" s="171"/>
      <c r="J121" s="171"/>
      <c r="K121" s="171"/>
      <c r="L121" s="172"/>
      <c r="M121" s="2"/>
    </row>
    <row r="122" spans="1:16" x14ac:dyDescent="0.25">
      <c r="B122" s="612" t="str">
        <f>IF(Intro!$G$21="English",O122,P122)</f>
        <v>Identify any events, such as reduced hours of work, layoffs, strikes and other plant shutdowns/closures other than holidays, that have affected your firm's production of the goods since January 1, 2023. For each event, identify the year, the cause, the duration and the number of direct employees affected.</v>
      </c>
      <c r="C122" s="613"/>
      <c r="D122" s="613"/>
      <c r="E122" s="613"/>
      <c r="F122" s="613"/>
      <c r="G122" s="613"/>
      <c r="H122" s="613"/>
      <c r="I122" s="613"/>
      <c r="J122" s="613"/>
      <c r="K122" s="613"/>
      <c r="L122" s="614"/>
      <c r="M122" s="2"/>
      <c r="O122" s="2" t="str">
        <f>"Identify any events, such as reduced hours of work, layoffs, strikes and other plant shutdowns/closures other than holidays, that have affected your firm's production of the goods since January 1, "&amp;Variables!B6&amp;". For each event, identify the year, the cause, the duration and the number of direct employees affected."</f>
        <v>Identify any events, such as reduced hours of work, layoffs, strikes and other plant shutdowns/closures other than holidays, that have affected your firm's production of the goods since January 1, 2023. For each event, identify the year, the cause, the duration and the number of direct employees affected.</v>
      </c>
      <c r="P122" s="2" t="str">
        <f>"Indiquez tout événement, p. ex. heures de travail réduites, mises à pied, grèves ou fermetures d’usine, autre qu'un congé, qui a influé sur la production des marchandises de votre entreprise depuis le 1er janvier "&amp;Variables!B6&amp;". En outre, pour chaque événement, indiquez l’année, la cause, la durée et le nombre d’employés directs touchés."</f>
        <v>Indiquez tout événement, p. ex. heures de travail réduites, mises à pied, grèves ou fermetures d’usine, autre qu'un congé, qui a influé sur la production des marchandises de votre entreprise depuis le 1er janvier 2023. En outre, pour chaque événement, indiquez l’année, la cause, la durée et le nombre d’employés directs touchés.</v>
      </c>
    </row>
    <row r="123" spans="1:16" x14ac:dyDescent="0.25">
      <c r="B123" s="612"/>
      <c r="C123" s="613"/>
      <c r="D123" s="613"/>
      <c r="E123" s="613"/>
      <c r="F123" s="613"/>
      <c r="G123" s="613"/>
      <c r="H123" s="613"/>
      <c r="I123" s="613"/>
      <c r="J123" s="613"/>
      <c r="K123" s="613"/>
      <c r="L123" s="614"/>
      <c r="M123" s="2"/>
      <c r="O123" s="2" t="s">
        <v>669</v>
      </c>
      <c r="P123" s="11" t="s">
        <v>670</v>
      </c>
    </row>
    <row r="124" spans="1:16" x14ac:dyDescent="0.25">
      <c r="B124" s="170"/>
      <c r="C124" s="171"/>
      <c r="D124" s="171"/>
      <c r="E124" s="171"/>
      <c r="F124" s="171"/>
      <c r="G124" s="171"/>
      <c r="H124" s="171"/>
      <c r="I124" s="171"/>
      <c r="J124" s="171"/>
      <c r="K124" s="171"/>
      <c r="L124" s="172"/>
      <c r="M124" s="2"/>
      <c r="O124" s="2" t="s">
        <v>235</v>
      </c>
      <c r="P124" s="2" t="s">
        <v>236</v>
      </c>
    </row>
    <row r="125" spans="1:16" x14ac:dyDescent="0.25">
      <c r="B125" s="931" t="str">
        <f>IF(Intro!$G$21="English",O123,P123)</f>
        <v>Event</v>
      </c>
      <c r="C125" s="826" t="str">
        <f>IF(Intro!$G$21="English",O124,P124)</f>
        <v>Year</v>
      </c>
      <c r="D125" s="826" t="str">
        <f>IF(Intro!$G$21="English",O125,P125)</f>
        <v>Duration</v>
      </c>
      <c r="E125" s="806" t="str">
        <f>IF(Intro!$G$21="English",O126,P126)</f>
        <v>Number of Direct Employees Affected</v>
      </c>
      <c r="F125" s="806"/>
      <c r="G125" s="806" t="str">
        <f>IF(Intro!$G$21="English",O127,P127)</f>
        <v>Cause</v>
      </c>
      <c r="H125" s="806"/>
      <c r="I125" s="806"/>
      <c r="J125" s="806"/>
      <c r="K125" s="806"/>
      <c r="L125" s="930"/>
      <c r="M125" s="2"/>
      <c r="O125" s="2" t="s">
        <v>237</v>
      </c>
      <c r="P125" s="2" t="s">
        <v>238</v>
      </c>
    </row>
    <row r="126" spans="1:16" x14ac:dyDescent="0.25">
      <c r="B126" s="932"/>
      <c r="C126" s="827"/>
      <c r="D126" s="827"/>
      <c r="E126" s="806"/>
      <c r="F126" s="806"/>
      <c r="G126" s="806"/>
      <c r="H126" s="806"/>
      <c r="I126" s="806"/>
      <c r="J126" s="806"/>
      <c r="K126" s="806"/>
      <c r="L126" s="930"/>
      <c r="M126" s="2"/>
      <c r="O126" s="2" t="s">
        <v>338</v>
      </c>
      <c r="P126" s="2" t="s">
        <v>339</v>
      </c>
    </row>
    <row r="127" spans="1:16" x14ac:dyDescent="0.25">
      <c r="B127" s="924" t="str">
        <f>IF(Intro!$G$21="English",O128,P128)</f>
        <v>Event 1</v>
      </c>
      <c r="C127" s="609"/>
      <c r="D127" s="592"/>
      <c r="E127" s="592"/>
      <c r="F127" s="592"/>
      <c r="G127" s="592"/>
      <c r="H127" s="592"/>
      <c r="I127" s="592"/>
      <c r="J127" s="592"/>
      <c r="K127" s="592"/>
      <c r="L127" s="593"/>
      <c r="M127" s="2"/>
      <c r="O127" s="11" t="s">
        <v>239</v>
      </c>
      <c r="P127" s="11" t="s">
        <v>240</v>
      </c>
    </row>
    <row r="128" spans="1:16" x14ac:dyDescent="0.25">
      <c r="B128" s="924"/>
      <c r="C128" s="609"/>
      <c r="D128" s="592"/>
      <c r="E128" s="592"/>
      <c r="F128" s="592"/>
      <c r="G128" s="592"/>
      <c r="H128" s="592"/>
      <c r="I128" s="592"/>
      <c r="J128" s="592"/>
      <c r="K128" s="592"/>
      <c r="L128" s="593"/>
      <c r="M128" s="2"/>
      <c r="O128" s="11" t="s">
        <v>241</v>
      </c>
      <c r="P128" s="11" t="s">
        <v>242</v>
      </c>
    </row>
    <row r="129" spans="2:16" x14ac:dyDescent="0.25">
      <c r="B129" s="924"/>
      <c r="C129" s="609"/>
      <c r="D129" s="592"/>
      <c r="E129" s="592"/>
      <c r="F129" s="592"/>
      <c r="G129" s="592"/>
      <c r="H129" s="592"/>
      <c r="I129" s="592"/>
      <c r="J129" s="592"/>
      <c r="K129" s="592"/>
      <c r="L129" s="593"/>
      <c r="M129" s="2"/>
      <c r="O129" s="11"/>
      <c r="P129" s="11"/>
    </row>
    <row r="130" spans="2:16" x14ac:dyDescent="0.25">
      <c r="B130" s="924"/>
      <c r="C130" s="609"/>
      <c r="D130" s="592"/>
      <c r="E130" s="592"/>
      <c r="F130" s="592"/>
      <c r="G130" s="592"/>
      <c r="H130" s="592"/>
      <c r="I130" s="592"/>
      <c r="J130" s="592"/>
      <c r="K130" s="592"/>
      <c r="L130" s="593"/>
      <c r="M130" s="2"/>
      <c r="O130" s="11"/>
      <c r="P130" s="11"/>
    </row>
    <row r="131" spans="2:16" x14ac:dyDescent="0.25">
      <c r="B131" s="924"/>
      <c r="C131" s="609"/>
      <c r="D131" s="592"/>
      <c r="E131" s="592"/>
      <c r="F131" s="592"/>
      <c r="G131" s="592"/>
      <c r="H131" s="592"/>
      <c r="I131" s="592"/>
      <c r="J131" s="592"/>
      <c r="K131" s="592"/>
      <c r="L131" s="593"/>
      <c r="M131" s="2"/>
      <c r="O131" s="11"/>
      <c r="P131" s="11"/>
    </row>
    <row r="132" spans="2:16" x14ac:dyDescent="0.25">
      <c r="B132" s="924"/>
      <c r="C132" s="609"/>
      <c r="D132" s="592"/>
      <c r="E132" s="592"/>
      <c r="F132" s="592"/>
      <c r="G132" s="592"/>
      <c r="H132" s="592"/>
      <c r="I132" s="592"/>
      <c r="J132" s="592"/>
      <c r="K132" s="592"/>
      <c r="L132" s="593"/>
      <c r="M132" s="2"/>
      <c r="O132" s="11"/>
      <c r="P132" s="11"/>
    </row>
    <row r="133" spans="2:16" x14ac:dyDescent="0.25">
      <c r="B133" s="924"/>
      <c r="C133" s="609"/>
      <c r="D133" s="592"/>
      <c r="E133" s="592"/>
      <c r="F133" s="592"/>
      <c r="G133" s="592"/>
      <c r="H133" s="592"/>
      <c r="I133" s="592"/>
      <c r="J133" s="592"/>
      <c r="K133" s="592"/>
      <c r="L133" s="593"/>
      <c r="M133" s="2"/>
      <c r="O133" s="11"/>
      <c r="P133" s="11"/>
    </row>
    <row r="134" spans="2:16" x14ac:dyDescent="0.25">
      <c r="B134" s="924"/>
      <c r="C134" s="609"/>
      <c r="D134" s="592"/>
      <c r="E134" s="592"/>
      <c r="F134" s="592"/>
      <c r="G134" s="592"/>
      <c r="H134" s="592"/>
      <c r="I134" s="592"/>
      <c r="J134" s="592"/>
      <c r="K134" s="592"/>
      <c r="L134" s="593"/>
      <c r="M134" s="2"/>
      <c r="O134" s="11"/>
      <c r="P134" s="11"/>
    </row>
    <row r="135" spans="2:16" x14ac:dyDescent="0.25">
      <c r="B135" s="924"/>
      <c r="C135" s="609"/>
      <c r="D135" s="592"/>
      <c r="E135" s="592"/>
      <c r="F135" s="592"/>
      <c r="G135" s="592"/>
      <c r="H135" s="592"/>
      <c r="I135" s="592"/>
      <c r="J135" s="592"/>
      <c r="K135" s="592"/>
      <c r="L135" s="593"/>
      <c r="M135" s="2"/>
      <c r="O135" s="11"/>
      <c r="P135" s="11"/>
    </row>
    <row r="136" spans="2:16" x14ac:dyDescent="0.25">
      <c r="B136" s="924"/>
      <c r="C136" s="609"/>
      <c r="D136" s="592"/>
      <c r="E136" s="592"/>
      <c r="F136" s="592"/>
      <c r="G136" s="592"/>
      <c r="H136" s="592"/>
      <c r="I136" s="592"/>
      <c r="J136" s="592"/>
      <c r="K136" s="592"/>
      <c r="L136" s="593"/>
      <c r="M136" s="2"/>
      <c r="O136" s="11"/>
      <c r="P136" s="11"/>
    </row>
    <row r="137" spans="2:16" x14ac:dyDescent="0.25">
      <c r="B137" s="924" t="str">
        <f>IF(Intro!$G$21="English",O137,P137)</f>
        <v>Event 2</v>
      </c>
      <c r="C137" s="609"/>
      <c r="D137" s="592"/>
      <c r="E137" s="592"/>
      <c r="F137" s="592"/>
      <c r="G137" s="592"/>
      <c r="H137" s="592"/>
      <c r="I137" s="592"/>
      <c r="J137" s="592"/>
      <c r="K137" s="592"/>
      <c r="L137" s="593"/>
      <c r="M137" s="2"/>
      <c r="O137" s="11" t="s">
        <v>243</v>
      </c>
      <c r="P137" s="11" t="s">
        <v>244</v>
      </c>
    </row>
    <row r="138" spans="2:16" x14ac:dyDescent="0.25">
      <c r="B138" s="924"/>
      <c r="C138" s="609"/>
      <c r="D138" s="592"/>
      <c r="E138" s="592"/>
      <c r="F138" s="592"/>
      <c r="G138" s="592"/>
      <c r="H138" s="592"/>
      <c r="I138" s="592"/>
      <c r="J138" s="592"/>
      <c r="K138" s="592"/>
      <c r="L138" s="593"/>
      <c r="M138" s="2"/>
    </row>
    <row r="139" spans="2:16" x14ac:dyDescent="0.25">
      <c r="B139" s="924"/>
      <c r="C139" s="609"/>
      <c r="D139" s="592"/>
      <c r="E139" s="592"/>
      <c r="F139" s="592"/>
      <c r="G139" s="592"/>
      <c r="H139" s="592"/>
      <c r="I139" s="592"/>
      <c r="J139" s="592"/>
      <c r="K139" s="592"/>
      <c r="L139" s="593"/>
      <c r="M139" s="2"/>
    </row>
    <row r="140" spans="2:16" x14ac:dyDescent="0.25">
      <c r="B140" s="924"/>
      <c r="C140" s="609"/>
      <c r="D140" s="592"/>
      <c r="E140" s="592"/>
      <c r="F140" s="592"/>
      <c r="G140" s="592"/>
      <c r="H140" s="592"/>
      <c r="I140" s="592"/>
      <c r="J140" s="592"/>
      <c r="K140" s="592"/>
      <c r="L140" s="593"/>
      <c r="M140" s="2"/>
      <c r="O140" s="11"/>
      <c r="P140" s="11"/>
    </row>
    <row r="141" spans="2:16" x14ac:dyDescent="0.25">
      <c r="B141" s="924"/>
      <c r="C141" s="609"/>
      <c r="D141" s="592"/>
      <c r="E141" s="592"/>
      <c r="F141" s="592"/>
      <c r="G141" s="592"/>
      <c r="H141" s="592"/>
      <c r="I141" s="592"/>
      <c r="J141" s="592"/>
      <c r="K141" s="592"/>
      <c r="L141" s="593"/>
      <c r="M141" s="2"/>
      <c r="O141" s="11"/>
      <c r="P141" s="11"/>
    </row>
    <row r="142" spans="2:16" x14ac:dyDescent="0.25">
      <c r="B142" s="924"/>
      <c r="C142" s="609"/>
      <c r="D142" s="592"/>
      <c r="E142" s="592"/>
      <c r="F142" s="592"/>
      <c r="G142" s="592"/>
      <c r="H142" s="592"/>
      <c r="I142" s="592"/>
      <c r="J142" s="592"/>
      <c r="K142" s="592"/>
      <c r="L142" s="593"/>
      <c r="M142" s="2"/>
      <c r="O142" s="11"/>
      <c r="P142" s="11"/>
    </row>
    <row r="143" spans="2:16" x14ac:dyDescent="0.25">
      <c r="B143" s="924"/>
      <c r="C143" s="609"/>
      <c r="D143" s="592"/>
      <c r="E143" s="592"/>
      <c r="F143" s="592"/>
      <c r="G143" s="592"/>
      <c r="H143" s="592"/>
      <c r="I143" s="592"/>
      <c r="J143" s="592"/>
      <c r="K143" s="592"/>
      <c r="L143" s="593"/>
      <c r="M143" s="2"/>
      <c r="O143" s="11"/>
      <c r="P143" s="11"/>
    </row>
    <row r="144" spans="2:16" x14ac:dyDescent="0.25">
      <c r="B144" s="924"/>
      <c r="C144" s="609"/>
      <c r="D144" s="592"/>
      <c r="E144" s="592"/>
      <c r="F144" s="592"/>
      <c r="G144" s="592"/>
      <c r="H144" s="592"/>
      <c r="I144" s="592"/>
      <c r="J144" s="592"/>
      <c r="K144" s="592"/>
      <c r="L144" s="593"/>
      <c r="M144" s="2"/>
      <c r="O144" s="11"/>
      <c r="P144" s="11"/>
    </row>
    <row r="145" spans="2:16" x14ac:dyDescent="0.25">
      <c r="B145" s="924"/>
      <c r="C145" s="609"/>
      <c r="D145" s="592"/>
      <c r="E145" s="592"/>
      <c r="F145" s="592"/>
      <c r="G145" s="592"/>
      <c r="H145" s="592"/>
      <c r="I145" s="592"/>
      <c r="J145" s="592"/>
      <c r="K145" s="592"/>
      <c r="L145" s="593"/>
      <c r="M145" s="2"/>
      <c r="O145" s="11"/>
      <c r="P145" s="11"/>
    </row>
    <row r="146" spans="2:16" x14ac:dyDescent="0.25">
      <c r="B146" s="924"/>
      <c r="C146" s="609"/>
      <c r="D146" s="592"/>
      <c r="E146" s="592"/>
      <c r="F146" s="592"/>
      <c r="G146" s="592"/>
      <c r="H146" s="592"/>
      <c r="I146" s="592"/>
      <c r="J146" s="592"/>
      <c r="K146" s="592"/>
      <c r="L146" s="593"/>
      <c r="M146" s="2"/>
      <c r="O146" s="11"/>
      <c r="P146" s="11"/>
    </row>
    <row r="147" spans="2:16" x14ac:dyDescent="0.25">
      <c r="B147" s="924" t="str">
        <f>IF(Intro!$G$21="English",O147,P147)</f>
        <v>Event 3</v>
      </c>
      <c r="C147" s="609"/>
      <c r="D147" s="592"/>
      <c r="E147" s="592"/>
      <c r="F147" s="592"/>
      <c r="G147" s="592"/>
      <c r="H147" s="592"/>
      <c r="I147" s="592"/>
      <c r="J147" s="592"/>
      <c r="K147" s="592"/>
      <c r="L147" s="593"/>
      <c r="M147" s="2"/>
      <c r="O147" s="11" t="s">
        <v>245</v>
      </c>
      <c r="P147" s="11" t="s">
        <v>246</v>
      </c>
    </row>
    <row r="148" spans="2:16" x14ac:dyDescent="0.25">
      <c r="B148" s="924"/>
      <c r="C148" s="609"/>
      <c r="D148" s="592"/>
      <c r="E148" s="592"/>
      <c r="F148" s="592"/>
      <c r="G148" s="592"/>
      <c r="H148" s="592"/>
      <c r="I148" s="592"/>
      <c r="J148" s="592"/>
      <c r="K148" s="592"/>
      <c r="L148" s="593"/>
      <c r="M148" s="2"/>
    </row>
    <row r="149" spans="2:16" x14ac:dyDescent="0.25">
      <c r="B149" s="924"/>
      <c r="C149" s="609"/>
      <c r="D149" s="592"/>
      <c r="E149" s="592"/>
      <c r="F149" s="592"/>
      <c r="G149" s="592"/>
      <c r="H149" s="592"/>
      <c r="I149" s="592"/>
      <c r="J149" s="592"/>
      <c r="K149" s="592"/>
      <c r="L149" s="593"/>
      <c r="M149" s="2"/>
      <c r="O149" s="11"/>
      <c r="P149" s="11"/>
    </row>
    <row r="150" spans="2:16" x14ac:dyDescent="0.25">
      <c r="B150" s="924"/>
      <c r="C150" s="609"/>
      <c r="D150" s="592"/>
      <c r="E150" s="592"/>
      <c r="F150" s="592"/>
      <c r="G150" s="592"/>
      <c r="H150" s="592"/>
      <c r="I150" s="592"/>
      <c r="J150" s="592"/>
      <c r="K150" s="592"/>
      <c r="L150" s="593"/>
      <c r="M150" s="2"/>
      <c r="O150" s="11"/>
      <c r="P150" s="11"/>
    </row>
    <row r="151" spans="2:16" x14ac:dyDescent="0.25">
      <c r="B151" s="924"/>
      <c r="C151" s="609"/>
      <c r="D151" s="592"/>
      <c r="E151" s="592"/>
      <c r="F151" s="592"/>
      <c r="G151" s="592"/>
      <c r="H151" s="592"/>
      <c r="I151" s="592"/>
      <c r="J151" s="592"/>
      <c r="K151" s="592"/>
      <c r="L151" s="593"/>
      <c r="M151" s="2"/>
      <c r="O151" s="11"/>
      <c r="P151" s="11"/>
    </row>
    <row r="152" spans="2:16" x14ac:dyDescent="0.25">
      <c r="B152" s="924"/>
      <c r="C152" s="609"/>
      <c r="D152" s="592"/>
      <c r="E152" s="592"/>
      <c r="F152" s="592"/>
      <c r="G152" s="592"/>
      <c r="H152" s="592"/>
      <c r="I152" s="592"/>
      <c r="J152" s="592"/>
      <c r="K152" s="592"/>
      <c r="L152" s="593"/>
      <c r="M152" s="2"/>
      <c r="O152" s="11"/>
      <c r="P152" s="11"/>
    </row>
    <row r="153" spans="2:16" x14ac:dyDescent="0.25">
      <c r="B153" s="924"/>
      <c r="C153" s="609"/>
      <c r="D153" s="592"/>
      <c r="E153" s="592"/>
      <c r="F153" s="592"/>
      <c r="G153" s="592"/>
      <c r="H153" s="592"/>
      <c r="I153" s="592"/>
      <c r="J153" s="592"/>
      <c r="K153" s="592"/>
      <c r="L153" s="593"/>
      <c r="M153" s="2"/>
      <c r="O153" s="11"/>
      <c r="P153" s="11"/>
    </row>
    <row r="154" spans="2:16" x14ac:dyDescent="0.25">
      <c r="B154" s="924"/>
      <c r="C154" s="609"/>
      <c r="D154" s="592"/>
      <c r="E154" s="592"/>
      <c r="F154" s="592"/>
      <c r="G154" s="592"/>
      <c r="H154" s="592"/>
      <c r="I154" s="592"/>
      <c r="J154" s="592"/>
      <c r="K154" s="592"/>
      <c r="L154" s="593"/>
      <c r="M154" s="2"/>
      <c r="O154" s="11"/>
      <c r="P154" s="11"/>
    </row>
    <row r="155" spans="2:16" x14ac:dyDescent="0.25">
      <c r="B155" s="924"/>
      <c r="C155" s="609"/>
      <c r="D155" s="592"/>
      <c r="E155" s="592"/>
      <c r="F155" s="592"/>
      <c r="G155" s="592"/>
      <c r="H155" s="592"/>
      <c r="I155" s="592"/>
      <c r="J155" s="592"/>
      <c r="K155" s="592"/>
      <c r="L155" s="593"/>
      <c r="M155" s="2"/>
      <c r="O155" s="11"/>
      <c r="P155" s="11"/>
    </row>
    <row r="156" spans="2:16" x14ac:dyDescent="0.25">
      <c r="B156" s="924"/>
      <c r="C156" s="609"/>
      <c r="D156" s="592"/>
      <c r="E156" s="592"/>
      <c r="F156" s="592"/>
      <c r="G156" s="592"/>
      <c r="H156" s="592"/>
      <c r="I156" s="592"/>
      <c r="J156" s="592"/>
      <c r="K156" s="592"/>
      <c r="L156" s="593"/>
      <c r="M156" s="2"/>
      <c r="O156" s="11"/>
      <c r="P156" s="11"/>
    </row>
    <row r="157" spans="2:16" x14ac:dyDescent="0.25">
      <c r="B157" s="924" t="str">
        <f>IF(Intro!$G$21="English",O157,P157)</f>
        <v>Event 4</v>
      </c>
      <c r="C157" s="609"/>
      <c r="D157" s="592"/>
      <c r="E157" s="592"/>
      <c r="F157" s="592"/>
      <c r="G157" s="592"/>
      <c r="H157" s="592"/>
      <c r="I157" s="592"/>
      <c r="J157" s="592"/>
      <c r="K157" s="592"/>
      <c r="L157" s="593"/>
      <c r="M157" s="2"/>
      <c r="O157" s="11" t="s">
        <v>247</v>
      </c>
      <c r="P157" s="11" t="s">
        <v>248</v>
      </c>
    </row>
    <row r="158" spans="2:16" x14ac:dyDescent="0.25">
      <c r="B158" s="924"/>
      <c r="C158" s="609"/>
      <c r="D158" s="592"/>
      <c r="E158" s="592"/>
      <c r="F158" s="592"/>
      <c r="G158" s="592"/>
      <c r="H158" s="592"/>
      <c r="I158" s="592"/>
      <c r="J158" s="592"/>
      <c r="K158" s="592"/>
      <c r="L158" s="593"/>
      <c r="M158" s="2"/>
    </row>
    <row r="159" spans="2:16" x14ac:dyDescent="0.25">
      <c r="B159" s="924"/>
      <c r="C159" s="609"/>
      <c r="D159" s="592"/>
      <c r="E159" s="592"/>
      <c r="F159" s="592"/>
      <c r="G159" s="592"/>
      <c r="H159" s="592"/>
      <c r="I159" s="592"/>
      <c r="J159" s="592"/>
      <c r="K159" s="592"/>
      <c r="L159" s="593"/>
      <c r="M159" s="2"/>
      <c r="O159" s="11"/>
      <c r="P159" s="11"/>
    </row>
    <row r="160" spans="2:16" x14ac:dyDescent="0.25">
      <c r="B160" s="924"/>
      <c r="C160" s="609"/>
      <c r="D160" s="592"/>
      <c r="E160" s="592"/>
      <c r="F160" s="592"/>
      <c r="G160" s="592"/>
      <c r="H160" s="592"/>
      <c r="I160" s="592"/>
      <c r="J160" s="592"/>
      <c r="K160" s="592"/>
      <c r="L160" s="593"/>
      <c r="M160" s="2"/>
      <c r="O160" s="11"/>
      <c r="P160" s="11"/>
    </row>
    <row r="161" spans="2:16" x14ac:dyDescent="0.25">
      <c r="B161" s="924"/>
      <c r="C161" s="609"/>
      <c r="D161" s="592"/>
      <c r="E161" s="592"/>
      <c r="F161" s="592"/>
      <c r="G161" s="592"/>
      <c r="H161" s="592"/>
      <c r="I161" s="592"/>
      <c r="J161" s="592"/>
      <c r="K161" s="592"/>
      <c r="L161" s="593"/>
      <c r="M161" s="2"/>
      <c r="O161" s="11"/>
      <c r="P161" s="11"/>
    </row>
    <row r="162" spans="2:16" x14ac:dyDescent="0.25">
      <c r="B162" s="924"/>
      <c r="C162" s="609"/>
      <c r="D162" s="592"/>
      <c r="E162" s="592"/>
      <c r="F162" s="592"/>
      <c r="G162" s="592"/>
      <c r="H162" s="592"/>
      <c r="I162" s="592"/>
      <c r="J162" s="592"/>
      <c r="K162" s="592"/>
      <c r="L162" s="593"/>
      <c r="M162" s="2"/>
      <c r="O162" s="11"/>
      <c r="P162" s="11"/>
    </row>
    <row r="163" spans="2:16" x14ac:dyDescent="0.25">
      <c r="B163" s="924"/>
      <c r="C163" s="609"/>
      <c r="D163" s="592"/>
      <c r="E163" s="592"/>
      <c r="F163" s="592"/>
      <c r="G163" s="592"/>
      <c r="H163" s="592"/>
      <c r="I163" s="592"/>
      <c r="J163" s="592"/>
      <c r="K163" s="592"/>
      <c r="L163" s="593"/>
      <c r="M163" s="2"/>
      <c r="O163" s="11"/>
      <c r="P163" s="11"/>
    </row>
    <row r="164" spans="2:16" x14ac:dyDescent="0.25">
      <c r="B164" s="924"/>
      <c r="C164" s="609"/>
      <c r="D164" s="592"/>
      <c r="E164" s="592"/>
      <c r="F164" s="592"/>
      <c r="G164" s="592"/>
      <c r="H164" s="592"/>
      <c r="I164" s="592"/>
      <c r="J164" s="592"/>
      <c r="K164" s="592"/>
      <c r="L164" s="593"/>
      <c r="M164" s="2"/>
      <c r="O164" s="11"/>
      <c r="P164" s="11"/>
    </row>
    <row r="165" spans="2:16" x14ac:dyDescent="0.25">
      <c r="B165" s="924"/>
      <c r="C165" s="609"/>
      <c r="D165" s="592"/>
      <c r="E165" s="592"/>
      <c r="F165" s="592"/>
      <c r="G165" s="592"/>
      <c r="H165" s="592"/>
      <c r="I165" s="592"/>
      <c r="J165" s="592"/>
      <c r="K165" s="592"/>
      <c r="L165" s="593"/>
      <c r="M165" s="2"/>
      <c r="O165" s="11"/>
      <c r="P165" s="11"/>
    </row>
    <row r="166" spans="2:16" x14ac:dyDescent="0.25">
      <c r="B166" s="924"/>
      <c r="C166" s="609"/>
      <c r="D166" s="592"/>
      <c r="E166" s="592"/>
      <c r="F166" s="592"/>
      <c r="G166" s="592"/>
      <c r="H166" s="592"/>
      <c r="I166" s="592"/>
      <c r="J166" s="592"/>
      <c r="K166" s="592"/>
      <c r="L166" s="593"/>
      <c r="M166" s="2"/>
      <c r="O166" s="11"/>
      <c r="P166" s="11"/>
    </row>
    <row r="167" spans="2:16" x14ac:dyDescent="0.25">
      <c r="B167" s="924" t="str">
        <f>IF(Intro!$G$21="English",O167,P167)</f>
        <v>Event 5</v>
      </c>
      <c r="C167" s="609"/>
      <c r="D167" s="592"/>
      <c r="E167" s="592"/>
      <c r="F167" s="592"/>
      <c r="G167" s="592"/>
      <c r="H167" s="592"/>
      <c r="I167" s="592"/>
      <c r="J167" s="592"/>
      <c r="K167" s="592"/>
      <c r="L167" s="593"/>
      <c r="M167" s="2"/>
      <c r="O167" s="11" t="s">
        <v>249</v>
      </c>
      <c r="P167" s="11" t="s">
        <v>250</v>
      </c>
    </row>
    <row r="168" spans="2:16" x14ac:dyDescent="0.25">
      <c r="B168" s="924"/>
      <c r="C168" s="609"/>
      <c r="D168" s="592"/>
      <c r="E168" s="592"/>
      <c r="F168" s="592"/>
      <c r="G168" s="592"/>
      <c r="H168" s="592"/>
      <c r="I168" s="592"/>
      <c r="J168" s="592"/>
      <c r="K168" s="592"/>
      <c r="L168" s="593"/>
      <c r="M168" s="2"/>
      <c r="O168" s="11"/>
      <c r="P168" s="11"/>
    </row>
    <row r="169" spans="2:16" x14ac:dyDescent="0.25">
      <c r="B169" s="924"/>
      <c r="C169" s="609"/>
      <c r="D169" s="592"/>
      <c r="E169" s="592"/>
      <c r="F169" s="592"/>
      <c r="G169" s="592"/>
      <c r="H169" s="592"/>
      <c r="I169" s="592"/>
      <c r="J169" s="592"/>
      <c r="K169" s="592"/>
      <c r="L169" s="593"/>
      <c r="M169" s="2"/>
      <c r="O169" s="11"/>
      <c r="P169" s="11"/>
    </row>
    <row r="170" spans="2:16" x14ac:dyDescent="0.25">
      <c r="B170" s="924"/>
      <c r="C170" s="609"/>
      <c r="D170" s="592"/>
      <c r="E170" s="592"/>
      <c r="F170" s="592"/>
      <c r="G170" s="592"/>
      <c r="H170" s="592"/>
      <c r="I170" s="592"/>
      <c r="J170" s="592"/>
      <c r="K170" s="592"/>
      <c r="L170" s="593"/>
      <c r="M170" s="2"/>
      <c r="O170" s="11"/>
      <c r="P170" s="11"/>
    </row>
    <row r="171" spans="2:16" x14ac:dyDescent="0.25">
      <c r="B171" s="924"/>
      <c r="C171" s="609"/>
      <c r="D171" s="592"/>
      <c r="E171" s="592"/>
      <c r="F171" s="592"/>
      <c r="G171" s="592"/>
      <c r="H171" s="592"/>
      <c r="I171" s="592"/>
      <c r="J171" s="592"/>
      <c r="K171" s="592"/>
      <c r="L171" s="593"/>
      <c r="M171" s="2"/>
      <c r="O171" s="11"/>
      <c r="P171" s="11"/>
    </row>
    <row r="172" spans="2:16" x14ac:dyDescent="0.25">
      <c r="B172" s="924"/>
      <c r="C172" s="609"/>
      <c r="D172" s="592"/>
      <c r="E172" s="592"/>
      <c r="F172" s="592"/>
      <c r="G172" s="592"/>
      <c r="H172" s="592"/>
      <c r="I172" s="592"/>
      <c r="J172" s="592"/>
      <c r="K172" s="592"/>
      <c r="L172" s="593"/>
      <c r="M172" s="2"/>
      <c r="O172" s="11"/>
      <c r="P172" s="11"/>
    </row>
    <row r="173" spans="2:16" x14ac:dyDescent="0.25">
      <c r="B173" s="924"/>
      <c r="C173" s="609"/>
      <c r="D173" s="592"/>
      <c r="E173" s="592"/>
      <c r="F173" s="592"/>
      <c r="G173" s="592"/>
      <c r="H173" s="592"/>
      <c r="I173" s="592"/>
      <c r="J173" s="592"/>
      <c r="K173" s="592"/>
      <c r="L173" s="593"/>
      <c r="M173" s="2"/>
      <c r="O173" s="11"/>
      <c r="P173" s="11"/>
    </row>
    <row r="174" spans="2:16" x14ac:dyDescent="0.25">
      <c r="B174" s="924"/>
      <c r="C174" s="609"/>
      <c r="D174" s="592"/>
      <c r="E174" s="592"/>
      <c r="F174" s="592"/>
      <c r="G174" s="592"/>
      <c r="H174" s="592"/>
      <c r="I174" s="592"/>
      <c r="J174" s="592"/>
      <c r="K174" s="592"/>
      <c r="L174" s="593"/>
      <c r="M174" s="2"/>
      <c r="O174" s="11"/>
      <c r="P174" s="11"/>
    </row>
    <row r="175" spans="2:16" x14ac:dyDescent="0.25">
      <c r="B175" s="924"/>
      <c r="C175" s="609"/>
      <c r="D175" s="592"/>
      <c r="E175" s="592"/>
      <c r="F175" s="592"/>
      <c r="G175" s="592"/>
      <c r="H175" s="592"/>
      <c r="I175" s="592"/>
      <c r="J175" s="592"/>
      <c r="K175" s="592"/>
      <c r="L175" s="593"/>
      <c r="M175" s="2"/>
      <c r="O175" s="11"/>
      <c r="P175" s="11"/>
    </row>
    <row r="176" spans="2:16" x14ac:dyDescent="0.25">
      <c r="B176" s="924"/>
      <c r="C176" s="609"/>
      <c r="D176" s="592"/>
      <c r="E176" s="592"/>
      <c r="F176" s="592"/>
      <c r="G176" s="592"/>
      <c r="H176" s="592"/>
      <c r="I176" s="592"/>
      <c r="J176" s="592"/>
      <c r="K176" s="592"/>
      <c r="L176" s="593"/>
      <c r="M176" s="2"/>
      <c r="O176" s="11"/>
      <c r="P176" s="11"/>
    </row>
    <row r="177" spans="1:16" x14ac:dyDescent="0.25">
      <c r="B177" s="36"/>
      <c r="C177" s="143"/>
      <c r="D177" s="39"/>
      <c r="E177" s="32"/>
      <c r="F177" s="32"/>
      <c r="G177" s="32"/>
      <c r="H177" s="32"/>
      <c r="I177" s="32"/>
      <c r="J177" s="32"/>
      <c r="K177" s="32"/>
      <c r="L177" s="33"/>
      <c r="M177" s="2"/>
      <c r="O177" s="11"/>
    </row>
    <row r="178" spans="1:16" x14ac:dyDescent="0.25">
      <c r="B178" s="144"/>
      <c r="C178" s="144"/>
      <c r="D178" s="34"/>
      <c r="E178" s="35"/>
      <c r="F178" s="35"/>
      <c r="G178" s="35"/>
      <c r="H178" s="35"/>
      <c r="I178" s="35"/>
      <c r="J178" s="35"/>
      <c r="K178" s="35"/>
      <c r="L178" s="35"/>
      <c r="M178" s="2"/>
      <c r="O178" s="11"/>
    </row>
    <row r="179" spans="1:16" x14ac:dyDescent="0.25">
      <c r="B179" s="618" t="str">
        <f>IF(Intro!$G$21="English",O179,P179)</f>
        <v>INCOME STATEMENT - FOR THE GOODS ONLY</v>
      </c>
      <c r="C179" s="619"/>
      <c r="D179" s="619"/>
      <c r="E179" s="619"/>
      <c r="F179" s="619"/>
      <c r="G179" s="619"/>
      <c r="H179" s="619"/>
      <c r="I179" s="619"/>
      <c r="J179" s="619"/>
      <c r="K179" s="619"/>
      <c r="L179" s="620"/>
      <c r="M179" s="2"/>
      <c r="O179" s="2" t="s">
        <v>808</v>
      </c>
      <c r="P179" s="2" t="s">
        <v>813</v>
      </c>
    </row>
    <row r="180" spans="1:16" s="3" customFormat="1" x14ac:dyDescent="0.25">
      <c r="A180" s="12"/>
      <c r="B180" s="711" t="s">
        <v>28</v>
      </c>
      <c r="C180" s="712"/>
      <c r="D180" s="712"/>
      <c r="E180" s="712"/>
      <c r="F180" s="712"/>
      <c r="G180" s="712"/>
      <c r="H180" s="712"/>
      <c r="I180" s="712"/>
      <c r="J180" s="712"/>
      <c r="K180" s="712"/>
      <c r="L180" s="713"/>
      <c r="M180" s="168"/>
    </row>
    <row r="181" spans="1:16" x14ac:dyDescent="0.25">
      <c r="B181" s="170"/>
      <c r="C181" s="171"/>
      <c r="D181" s="171"/>
      <c r="E181" s="171"/>
      <c r="F181" s="171"/>
      <c r="G181" s="171"/>
      <c r="H181" s="171"/>
      <c r="I181" s="171"/>
      <c r="J181" s="171"/>
      <c r="K181" s="171"/>
      <c r="L181" s="172"/>
      <c r="M181" s="2"/>
    </row>
    <row r="182" spans="1:16" x14ac:dyDescent="0.25">
      <c r="B182" s="612" t="str">
        <f>IF(Intro!$G$21="English",O182,P182)</f>
        <v xml:space="preserve">Complete the income statement for your firm's sales in Canada and sales for export of the goods produced in Canada. This statement is to be prepared using a full absorption costing method and is to be reported on a calendar-year basis. </v>
      </c>
      <c r="C182" s="613"/>
      <c r="D182" s="613"/>
      <c r="E182" s="613"/>
      <c r="F182" s="613"/>
      <c r="G182" s="613"/>
      <c r="H182" s="613"/>
      <c r="I182" s="613"/>
      <c r="J182" s="613"/>
      <c r="K182" s="613"/>
      <c r="L182" s="614"/>
      <c r="M182" s="2"/>
      <c r="O182" s="2" t="s">
        <v>251</v>
      </c>
      <c r="P182" s="17" t="s">
        <v>252</v>
      </c>
    </row>
    <row r="183" spans="1:16" x14ac:dyDescent="0.25">
      <c r="B183" s="612"/>
      <c r="C183" s="613"/>
      <c r="D183" s="613"/>
      <c r="E183" s="613"/>
      <c r="F183" s="613"/>
      <c r="G183" s="613"/>
      <c r="H183" s="613"/>
      <c r="I183" s="613"/>
      <c r="J183" s="613"/>
      <c r="K183" s="613"/>
      <c r="L183" s="614"/>
      <c r="M183" s="2"/>
      <c r="P183" s="17"/>
    </row>
    <row r="184" spans="1:16" x14ac:dyDescent="0.25">
      <c r="B184" s="170"/>
      <c r="C184" s="171"/>
      <c r="D184" s="171"/>
      <c r="E184" s="171"/>
      <c r="F184" s="171"/>
      <c r="G184" s="171"/>
      <c r="H184" s="171"/>
      <c r="I184" s="171"/>
      <c r="J184" s="171"/>
      <c r="K184" s="171"/>
      <c r="L184" s="172"/>
      <c r="M184" s="2"/>
    </row>
    <row r="185" spans="1:16" x14ac:dyDescent="0.25">
      <c r="B185" s="939" t="str">
        <f>IF(Intro!$G$21="English",O185,P185)</f>
        <v>For Sale in Canada</v>
      </c>
      <c r="C185" s="806"/>
      <c r="D185" s="806"/>
      <c r="E185" s="806"/>
      <c r="F185" s="806"/>
      <c r="G185" s="806">
        <f>Variables!$B$6</f>
        <v>2023</v>
      </c>
      <c r="H185" s="806">
        <f>G185+1</f>
        <v>2024</v>
      </c>
      <c r="I185" s="806">
        <f>H185+1</f>
        <v>2025</v>
      </c>
      <c r="J185" s="806" t="str">
        <f>J111</f>
        <v>Jan-Mar 2025</v>
      </c>
      <c r="K185" s="806" t="str">
        <f>K111</f>
        <v>Jan-Mar 2026</v>
      </c>
      <c r="L185" s="179"/>
      <c r="M185" s="2"/>
      <c r="O185" s="11" t="s">
        <v>43</v>
      </c>
      <c r="P185" s="11" t="s">
        <v>44</v>
      </c>
    </row>
    <row r="186" spans="1:16" x14ac:dyDescent="0.25">
      <c r="B186" s="939"/>
      <c r="C186" s="806"/>
      <c r="D186" s="806"/>
      <c r="E186" s="806"/>
      <c r="F186" s="806"/>
      <c r="G186" s="806"/>
      <c r="H186" s="806"/>
      <c r="I186" s="806"/>
      <c r="J186" s="806"/>
      <c r="K186" s="806"/>
      <c r="L186" s="179"/>
      <c r="M186" s="2"/>
      <c r="O186" s="11"/>
      <c r="P186" s="11"/>
    </row>
    <row r="187" spans="1:16" x14ac:dyDescent="0.25">
      <c r="B187" s="925" t="str">
        <f>IF(Intro!$G$21="English",O187,P187)</f>
        <v>Net Sales Value</v>
      </c>
      <c r="C187" s="926"/>
      <c r="D187" s="926"/>
      <c r="E187" s="926"/>
      <c r="F187" s="214" t="s">
        <v>560</v>
      </c>
      <c r="G187" s="267"/>
      <c r="H187" s="267"/>
      <c r="I187" s="267"/>
      <c r="J187" s="267"/>
      <c r="K187" s="267"/>
      <c r="L187" s="179"/>
      <c r="M187" s="2"/>
      <c r="O187" s="2" t="s">
        <v>70</v>
      </c>
      <c r="P187" s="2" t="s">
        <v>71</v>
      </c>
    </row>
    <row r="188" spans="1:16" x14ac:dyDescent="0.25">
      <c r="B188" s="963" t="str">
        <f>IF(Intro!$G$21="English",O188,P188)</f>
        <v>Beginning Inventory</v>
      </c>
      <c r="C188" s="964"/>
      <c r="D188" s="964"/>
      <c r="E188" s="964"/>
      <c r="F188" s="214" t="s">
        <v>560</v>
      </c>
      <c r="G188" s="267"/>
      <c r="H188" s="267"/>
      <c r="I188" s="267"/>
      <c r="J188" s="267"/>
      <c r="K188" s="267"/>
      <c r="L188" s="179"/>
      <c r="M188" s="2"/>
      <c r="O188" s="11" t="s">
        <v>72</v>
      </c>
      <c r="P188" s="2" t="s">
        <v>73</v>
      </c>
    </row>
    <row r="189" spans="1:16" x14ac:dyDescent="0.25">
      <c r="B189" s="963" t="str">
        <f>IF(Intro!$G$21="English",O189,P189)</f>
        <v>Cost of Goods Manufactured</v>
      </c>
      <c r="C189" s="964"/>
      <c r="D189" s="964"/>
      <c r="E189" s="964"/>
      <c r="F189" s="214" t="s">
        <v>560</v>
      </c>
      <c r="G189" s="268">
        <f>G33</f>
        <v>0</v>
      </c>
      <c r="H189" s="268">
        <f>H33</f>
        <v>0</v>
      </c>
      <c r="I189" s="268">
        <f>I33</f>
        <v>0</v>
      </c>
      <c r="J189" s="268">
        <f>J33</f>
        <v>0</v>
      </c>
      <c r="K189" s="268">
        <f>K33</f>
        <v>0</v>
      </c>
      <c r="L189" s="179"/>
      <c r="M189" s="2"/>
      <c r="O189" s="11" t="s">
        <v>64</v>
      </c>
      <c r="P189" s="2" t="s">
        <v>253</v>
      </c>
    </row>
    <row r="190" spans="1:16" x14ac:dyDescent="0.25">
      <c r="B190" s="963" t="str">
        <f>IF(Intro!$G$21="English",O190,P190)</f>
        <v xml:space="preserve">Ending Inventory </v>
      </c>
      <c r="C190" s="964"/>
      <c r="D190" s="964"/>
      <c r="E190" s="964"/>
      <c r="F190" s="214" t="s">
        <v>560</v>
      </c>
      <c r="G190" s="267"/>
      <c r="H190" s="267"/>
      <c r="I190" s="267"/>
      <c r="J190" s="267"/>
      <c r="K190" s="267"/>
      <c r="L190" s="179"/>
      <c r="M190" s="2"/>
      <c r="O190" s="11" t="s">
        <v>254</v>
      </c>
      <c r="P190" s="2" t="s">
        <v>591</v>
      </c>
    </row>
    <row r="191" spans="1:16" s="3" customFormat="1" x14ac:dyDescent="0.25">
      <c r="A191" s="18"/>
      <c r="B191" s="965" t="str">
        <f>IF(Intro!$G$21="English",O191,P191)</f>
        <v>Cost of Goods Sold</v>
      </c>
      <c r="C191" s="966"/>
      <c r="D191" s="966"/>
      <c r="E191" s="966"/>
      <c r="F191" s="214" t="s">
        <v>560</v>
      </c>
      <c r="G191" s="272">
        <f>G188+G189-G190</f>
        <v>0</v>
      </c>
      <c r="H191" s="272">
        <f>H188+H189-H190</f>
        <v>0</v>
      </c>
      <c r="I191" s="272">
        <f t="shared" ref="I191:J191" si="12">I188+I189-I190</f>
        <v>0</v>
      </c>
      <c r="J191" s="272">
        <f t="shared" si="12"/>
        <v>0</v>
      </c>
      <c r="K191" s="272">
        <f t="shared" ref="K191" si="13">K188+K189-K190</f>
        <v>0</v>
      </c>
      <c r="L191" s="179"/>
      <c r="O191" s="3" t="s">
        <v>74</v>
      </c>
      <c r="P191" s="3" t="s">
        <v>48</v>
      </c>
    </row>
    <row r="192" spans="1:16" s="3" customFormat="1" x14ac:dyDescent="0.25">
      <c r="A192" s="18"/>
      <c r="B192" s="940" t="str">
        <f>IF(Intro!$G$21="English",O192,P192)</f>
        <v>Gross Margin (Loss)</v>
      </c>
      <c r="C192" s="941"/>
      <c r="D192" s="941"/>
      <c r="E192" s="941"/>
      <c r="F192" s="214" t="s">
        <v>560</v>
      </c>
      <c r="G192" s="272">
        <f>G187-G191</f>
        <v>0</v>
      </c>
      <c r="H192" s="272">
        <f t="shared" ref="H192:I192" si="14">H187-H191</f>
        <v>0</v>
      </c>
      <c r="I192" s="272">
        <f t="shared" si="14"/>
        <v>0</v>
      </c>
      <c r="J192" s="272">
        <f t="shared" ref="J192:K192" si="15">J187-J191</f>
        <v>0</v>
      </c>
      <c r="K192" s="272">
        <f t="shared" si="15"/>
        <v>0</v>
      </c>
      <c r="L192" s="179"/>
      <c r="O192" s="3" t="s">
        <v>49</v>
      </c>
      <c r="P192" s="3" t="s">
        <v>50</v>
      </c>
    </row>
    <row r="193" spans="1:16" x14ac:dyDescent="0.25">
      <c r="B193" s="963" t="str">
        <f>IF(Intro!$G$21="English",O193,P193)</f>
        <v>General, Selling, and Administrative Expenses</v>
      </c>
      <c r="C193" s="964"/>
      <c r="D193" s="964"/>
      <c r="E193" s="964"/>
      <c r="F193" s="214" t="s">
        <v>560</v>
      </c>
      <c r="G193" s="267"/>
      <c r="H193" s="267"/>
      <c r="I193" s="267"/>
      <c r="J193" s="267"/>
      <c r="K193" s="267"/>
      <c r="L193" s="179"/>
      <c r="M193" s="2"/>
      <c r="O193" s="2" t="s">
        <v>75</v>
      </c>
      <c r="P193" s="2" t="s">
        <v>76</v>
      </c>
    </row>
    <row r="194" spans="1:16" x14ac:dyDescent="0.25">
      <c r="B194" s="963" t="str">
        <f>IF(Intro!$G$21="English",O194,P194)</f>
        <v xml:space="preserve">Financial Expenses </v>
      </c>
      <c r="C194" s="964"/>
      <c r="D194" s="964"/>
      <c r="E194" s="964"/>
      <c r="F194" s="214" t="s">
        <v>560</v>
      </c>
      <c r="G194" s="267"/>
      <c r="H194" s="267"/>
      <c r="I194" s="267"/>
      <c r="J194" s="267"/>
      <c r="K194" s="267"/>
      <c r="L194" s="179"/>
      <c r="M194" s="2"/>
      <c r="O194" s="2" t="s">
        <v>53</v>
      </c>
      <c r="P194" s="2" t="s">
        <v>54</v>
      </c>
    </row>
    <row r="195" spans="1:16" x14ac:dyDescent="0.25">
      <c r="B195" s="963" t="str">
        <f>IF(Intro!$G$21="English",O195,P195)</f>
        <v>Other Expenses</v>
      </c>
      <c r="C195" s="964"/>
      <c r="D195" s="964"/>
      <c r="E195" s="964"/>
      <c r="F195" s="214" t="s">
        <v>560</v>
      </c>
      <c r="G195" s="267"/>
      <c r="H195" s="267"/>
      <c r="I195" s="267"/>
      <c r="J195" s="267"/>
      <c r="K195" s="267"/>
      <c r="L195" s="179"/>
      <c r="M195" s="2"/>
      <c r="O195" s="2" t="s">
        <v>114</v>
      </c>
      <c r="P195" s="2" t="s">
        <v>115</v>
      </c>
    </row>
    <row r="196" spans="1:16" s="3" customFormat="1" x14ac:dyDescent="0.25">
      <c r="A196" s="18"/>
      <c r="B196" s="940" t="str">
        <f>IF(Intro!$G$21="English",O196,P196)</f>
        <v>Net Income (Loss) Before Taxes</v>
      </c>
      <c r="C196" s="941"/>
      <c r="D196" s="941"/>
      <c r="E196" s="941"/>
      <c r="F196" s="214" t="s">
        <v>560</v>
      </c>
      <c r="G196" s="272">
        <f>G192-G193-G194-G195</f>
        <v>0</v>
      </c>
      <c r="H196" s="272">
        <f t="shared" ref="H196:I196" si="16">H192-H193-H194-H195</f>
        <v>0</v>
      </c>
      <c r="I196" s="272">
        <f t="shared" si="16"/>
        <v>0</v>
      </c>
      <c r="J196" s="272">
        <f t="shared" ref="J196:K196" si="17">J192-J193-J194-J195</f>
        <v>0</v>
      </c>
      <c r="K196" s="272">
        <f t="shared" si="17"/>
        <v>0</v>
      </c>
      <c r="L196" s="179"/>
      <c r="O196" s="3" t="s">
        <v>55</v>
      </c>
      <c r="P196" s="3" t="s">
        <v>56</v>
      </c>
    </row>
    <row r="197" spans="1:16" x14ac:dyDescent="0.25">
      <c r="B197" s="159"/>
      <c r="C197" s="160"/>
      <c r="D197" s="2"/>
      <c r="E197" s="2"/>
      <c r="F197" s="25"/>
      <c r="G197" s="26"/>
      <c r="H197" s="26"/>
      <c r="I197" s="26"/>
      <c r="J197" s="26"/>
      <c r="K197" s="26"/>
      <c r="L197" s="27"/>
      <c r="M197" s="2"/>
      <c r="O197" s="11"/>
    </row>
    <row r="198" spans="1:16" s="3" customFormat="1" x14ac:dyDescent="0.25">
      <c r="A198" s="18"/>
      <c r="B198" s="612" t="str">
        <f>B35</f>
        <v>Explain any large changes between periods and any irregularities such as negative amounts in the amounts reported above.</v>
      </c>
      <c r="C198" s="613"/>
      <c r="D198" s="613"/>
      <c r="E198" s="613"/>
      <c r="F198" s="613"/>
      <c r="G198" s="613"/>
      <c r="H198" s="613"/>
      <c r="I198" s="613"/>
      <c r="J198" s="613"/>
      <c r="K198" s="613"/>
      <c r="L198" s="614"/>
      <c r="O198" s="2"/>
      <c r="P198" s="2"/>
    </row>
    <row r="199" spans="1:16" s="3" customFormat="1" x14ac:dyDescent="0.25">
      <c r="A199" s="18"/>
      <c r="B199" s="164"/>
      <c r="C199" s="151"/>
      <c r="D199" s="151"/>
      <c r="E199" s="151"/>
      <c r="F199" s="151"/>
      <c r="G199" s="151"/>
      <c r="H199" s="151"/>
      <c r="I199" s="151"/>
      <c r="J199" s="151"/>
      <c r="K199" s="151"/>
      <c r="L199" s="179"/>
    </row>
    <row r="200" spans="1:16" s="3" customFormat="1" x14ac:dyDescent="0.25">
      <c r="A200" s="18"/>
      <c r="B200" s="927"/>
      <c r="C200" s="928"/>
      <c r="D200" s="928"/>
      <c r="E200" s="928"/>
      <c r="F200" s="928"/>
      <c r="G200" s="928"/>
      <c r="H200" s="928"/>
      <c r="I200" s="928"/>
      <c r="J200" s="928"/>
      <c r="K200" s="928"/>
      <c r="L200" s="929"/>
    </row>
    <row r="201" spans="1:16" s="3" customFormat="1" x14ac:dyDescent="0.25">
      <c r="A201" s="18"/>
      <c r="B201" s="927"/>
      <c r="C201" s="928"/>
      <c r="D201" s="928"/>
      <c r="E201" s="928"/>
      <c r="F201" s="928"/>
      <c r="G201" s="928"/>
      <c r="H201" s="928"/>
      <c r="I201" s="928"/>
      <c r="J201" s="928"/>
      <c r="K201" s="928"/>
      <c r="L201" s="929"/>
    </row>
    <row r="202" spans="1:16" s="3" customFormat="1" x14ac:dyDescent="0.25">
      <c r="A202" s="18"/>
      <c r="B202" s="927"/>
      <c r="C202" s="928"/>
      <c r="D202" s="928"/>
      <c r="E202" s="928"/>
      <c r="F202" s="928"/>
      <c r="G202" s="928"/>
      <c r="H202" s="928"/>
      <c r="I202" s="928"/>
      <c r="J202" s="928"/>
      <c r="K202" s="928"/>
      <c r="L202" s="929"/>
    </row>
    <row r="203" spans="1:16" s="3" customFormat="1" x14ac:dyDescent="0.25">
      <c r="A203" s="18"/>
      <c r="B203" s="927"/>
      <c r="C203" s="928"/>
      <c r="D203" s="928"/>
      <c r="E203" s="928"/>
      <c r="F203" s="928"/>
      <c r="G203" s="928"/>
      <c r="H203" s="928"/>
      <c r="I203" s="928"/>
      <c r="J203" s="928"/>
      <c r="K203" s="928"/>
      <c r="L203" s="929"/>
      <c r="O203" s="2"/>
      <c r="P203" s="2"/>
    </row>
    <row r="204" spans="1:16" s="3" customFormat="1" x14ac:dyDescent="0.25">
      <c r="A204" s="18"/>
      <c r="B204" s="927"/>
      <c r="C204" s="928"/>
      <c r="D204" s="928"/>
      <c r="E204" s="928"/>
      <c r="F204" s="928"/>
      <c r="G204" s="928"/>
      <c r="H204" s="928"/>
      <c r="I204" s="928"/>
      <c r="J204" s="928"/>
      <c r="K204" s="928"/>
      <c r="L204" s="929"/>
      <c r="O204" s="2"/>
      <c r="P204" s="2"/>
    </row>
    <row r="205" spans="1:16" s="3" customFormat="1" x14ac:dyDescent="0.25">
      <c r="A205" s="18"/>
      <c r="B205" s="927"/>
      <c r="C205" s="928"/>
      <c r="D205" s="928"/>
      <c r="E205" s="928"/>
      <c r="F205" s="928"/>
      <c r="G205" s="928"/>
      <c r="H205" s="928"/>
      <c r="I205" s="928"/>
      <c r="J205" s="928"/>
      <c r="K205" s="928"/>
      <c r="L205" s="929"/>
      <c r="O205" s="2"/>
      <c r="P205" s="2"/>
    </row>
    <row r="206" spans="1:16" s="3" customFormat="1" x14ac:dyDescent="0.25">
      <c r="A206" s="18"/>
      <c r="B206" s="927"/>
      <c r="C206" s="928"/>
      <c r="D206" s="928"/>
      <c r="E206" s="928"/>
      <c r="F206" s="928"/>
      <c r="G206" s="928"/>
      <c r="H206" s="928"/>
      <c r="I206" s="928"/>
      <c r="J206" s="928"/>
      <c r="K206" s="928"/>
      <c r="L206" s="929"/>
    </row>
    <row r="207" spans="1:16" s="3" customFormat="1" x14ac:dyDescent="0.25">
      <c r="A207" s="18"/>
      <c r="B207" s="927"/>
      <c r="C207" s="928"/>
      <c r="D207" s="928"/>
      <c r="E207" s="928"/>
      <c r="F207" s="928"/>
      <c r="G207" s="928"/>
      <c r="H207" s="928"/>
      <c r="I207" s="928"/>
      <c r="J207" s="928"/>
      <c r="K207" s="928"/>
      <c r="L207" s="929"/>
    </row>
    <row r="208" spans="1:16" x14ac:dyDescent="0.25">
      <c r="B208" s="159"/>
      <c r="C208" s="160"/>
      <c r="D208" s="2"/>
      <c r="E208" s="2"/>
      <c r="F208" s="25"/>
      <c r="G208" s="26"/>
      <c r="H208" s="26"/>
      <c r="I208" s="26"/>
      <c r="J208" s="26"/>
      <c r="K208" s="26"/>
      <c r="L208" s="27"/>
      <c r="M208" s="2"/>
      <c r="O208" s="11"/>
    </row>
    <row r="209" spans="1:16" x14ac:dyDescent="0.25">
      <c r="B209" s="939" t="str">
        <f>IF(Intro!$G$21="English",O209,P209)</f>
        <v>For Export Sales</v>
      </c>
      <c r="C209" s="806"/>
      <c r="D209" s="806"/>
      <c r="E209" s="806"/>
      <c r="F209" s="806"/>
      <c r="G209" s="806">
        <f>G185</f>
        <v>2023</v>
      </c>
      <c r="H209" s="806">
        <f>H185</f>
        <v>2024</v>
      </c>
      <c r="I209" s="806">
        <f>I185</f>
        <v>2025</v>
      </c>
      <c r="J209" s="806" t="str">
        <f>J185</f>
        <v>Jan-Mar 2025</v>
      </c>
      <c r="K209" s="806" t="str">
        <f>K185</f>
        <v>Jan-Mar 2026</v>
      </c>
      <c r="L209" s="179"/>
      <c r="M209" s="2"/>
      <c r="O209" s="11" t="s">
        <v>216</v>
      </c>
      <c r="P209" s="11" t="s">
        <v>217</v>
      </c>
    </row>
    <row r="210" spans="1:16" x14ac:dyDescent="0.25">
      <c r="B210" s="939"/>
      <c r="C210" s="806"/>
      <c r="D210" s="806"/>
      <c r="E210" s="806"/>
      <c r="F210" s="806"/>
      <c r="G210" s="806"/>
      <c r="H210" s="806"/>
      <c r="I210" s="806"/>
      <c r="J210" s="806"/>
      <c r="K210" s="806"/>
      <c r="L210" s="179"/>
      <c r="M210" s="2"/>
      <c r="O210" s="11"/>
      <c r="P210" s="11"/>
    </row>
    <row r="211" spans="1:16" x14ac:dyDescent="0.25">
      <c r="B211" s="925" t="str">
        <f t="shared" ref="B211:B220" si="18">B187</f>
        <v>Net Sales Value</v>
      </c>
      <c r="C211" s="926"/>
      <c r="D211" s="926"/>
      <c r="E211" s="926"/>
      <c r="F211" s="214" t="s">
        <v>560</v>
      </c>
      <c r="G211" s="267"/>
      <c r="H211" s="267"/>
      <c r="I211" s="267"/>
      <c r="J211" s="267"/>
      <c r="K211" s="267"/>
      <c r="L211" s="179"/>
      <c r="M211" s="2"/>
    </row>
    <row r="212" spans="1:16" x14ac:dyDescent="0.25">
      <c r="B212" s="925" t="str">
        <f t="shared" si="18"/>
        <v>Beginning Inventory</v>
      </c>
      <c r="C212" s="926"/>
      <c r="D212" s="926"/>
      <c r="E212" s="926"/>
      <c r="F212" s="214" t="s">
        <v>560</v>
      </c>
      <c r="G212" s="267"/>
      <c r="H212" s="267"/>
      <c r="I212" s="267"/>
      <c r="J212" s="267"/>
      <c r="K212" s="267"/>
      <c r="L212" s="179"/>
      <c r="M212" s="2"/>
      <c r="O212" s="11"/>
    </row>
    <row r="213" spans="1:16" x14ac:dyDescent="0.25">
      <c r="B213" s="925" t="str">
        <f t="shared" si="18"/>
        <v>Cost of Goods Manufactured</v>
      </c>
      <c r="C213" s="926"/>
      <c r="D213" s="926"/>
      <c r="E213" s="926"/>
      <c r="F213" s="214" t="s">
        <v>560</v>
      </c>
      <c r="G213" s="268">
        <f>G58</f>
        <v>0</v>
      </c>
      <c r="H213" s="268">
        <f>H58</f>
        <v>0</v>
      </c>
      <c r="I213" s="268">
        <f>I58</f>
        <v>0</v>
      </c>
      <c r="J213" s="268">
        <f>J58</f>
        <v>0</v>
      </c>
      <c r="K213" s="268">
        <f>K58</f>
        <v>0</v>
      </c>
      <c r="L213" s="179"/>
      <c r="M213" s="2"/>
      <c r="O213" s="11"/>
    </row>
    <row r="214" spans="1:16" x14ac:dyDescent="0.25">
      <c r="B214" s="925" t="str">
        <f t="shared" si="18"/>
        <v xml:space="preserve">Ending Inventory </v>
      </c>
      <c r="C214" s="926"/>
      <c r="D214" s="926"/>
      <c r="E214" s="926"/>
      <c r="F214" s="214" t="s">
        <v>560</v>
      </c>
      <c r="G214" s="267"/>
      <c r="H214" s="267"/>
      <c r="I214" s="267"/>
      <c r="J214" s="267"/>
      <c r="K214" s="267"/>
      <c r="L214" s="179"/>
      <c r="M214" s="2"/>
      <c r="O214" s="11"/>
    </row>
    <row r="215" spans="1:16" s="3" customFormat="1" x14ac:dyDescent="0.25">
      <c r="A215" s="18"/>
      <c r="B215" s="940" t="str">
        <f t="shared" si="18"/>
        <v>Cost of Goods Sold</v>
      </c>
      <c r="C215" s="941"/>
      <c r="D215" s="941"/>
      <c r="E215" s="941"/>
      <c r="F215" s="214" t="s">
        <v>560</v>
      </c>
      <c r="G215" s="272">
        <f>G212+G213-G214</f>
        <v>0</v>
      </c>
      <c r="H215" s="272">
        <f>H212+H213-H214</f>
        <v>0</v>
      </c>
      <c r="I215" s="272">
        <f>I212+I213-I214</f>
        <v>0</v>
      </c>
      <c r="J215" s="272">
        <f>J212+J213-J214</f>
        <v>0</v>
      </c>
      <c r="K215" s="272">
        <f>K212+K213-K214</f>
        <v>0</v>
      </c>
      <c r="L215" s="179"/>
    </row>
    <row r="216" spans="1:16" s="3" customFormat="1" x14ac:dyDescent="0.25">
      <c r="A216" s="18"/>
      <c r="B216" s="940" t="str">
        <f t="shared" si="18"/>
        <v>Gross Margin (Loss)</v>
      </c>
      <c r="C216" s="941"/>
      <c r="D216" s="941"/>
      <c r="E216" s="941"/>
      <c r="F216" s="214" t="s">
        <v>560</v>
      </c>
      <c r="G216" s="272">
        <f>G211-G215</f>
        <v>0</v>
      </c>
      <c r="H216" s="272">
        <f t="shared" ref="H216" si="19">H211-H215</f>
        <v>0</v>
      </c>
      <c r="I216" s="272">
        <f t="shared" ref="I216:J216" si="20">I211-I215</f>
        <v>0</v>
      </c>
      <c r="J216" s="272">
        <f t="shared" si="20"/>
        <v>0</v>
      </c>
      <c r="K216" s="272">
        <f t="shared" ref="K216" si="21">K211-K215</f>
        <v>0</v>
      </c>
      <c r="L216" s="179"/>
    </row>
    <row r="217" spans="1:16" x14ac:dyDescent="0.25">
      <c r="B217" s="925" t="str">
        <f t="shared" si="18"/>
        <v>General, Selling, and Administrative Expenses</v>
      </c>
      <c r="C217" s="926"/>
      <c r="D217" s="926"/>
      <c r="E217" s="926"/>
      <c r="F217" s="214" t="s">
        <v>560</v>
      </c>
      <c r="G217" s="267"/>
      <c r="H217" s="267"/>
      <c r="I217" s="267"/>
      <c r="J217" s="267"/>
      <c r="K217" s="267"/>
      <c r="L217" s="179"/>
      <c r="M217" s="2"/>
    </row>
    <row r="218" spans="1:16" x14ac:dyDescent="0.25">
      <c r="B218" s="925" t="str">
        <f t="shared" si="18"/>
        <v xml:space="preserve">Financial Expenses </v>
      </c>
      <c r="C218" s="926"/>
      <c r="D218" s="926"/>
      <c r="E218" s="926"/>
      <c r="F218" s="214" t="s">
        <v>560</v>
      </c>
      <c r="G218" s="267"/>
      <c r="H218" s="267"/>
      <c r="I218" s="267"/>
      <c r="J218" s="267"/>
      <c r="K218" s="267"/>
      <c r="L218" s="179"/>
      <c r="M218" s="2"/>
    </row>
    <row r="219" spans="1:16" x14ac:dyDescent="0.25">
      <c r="B219" s="925" t="str">
        <f t="shared" si="18"/>
        <v>Other Expenses</v>
      </c>
      <c r="C219" s="926"/>
      <c r="D219" s="926"/>
      <c r="E219" s="926"/>
      <c r="F219" s="214" t="s">
        <v>560</v>
      </c>
      <c r="G219" s="267"/>
      <c r="H219" s="267"/>
      <c r="I219" s="267"/>
      <c r="J219" s="267"/>
      <c r="K219" s="267"/>
      <c r="L219" s="179"/>
      <c r="M219" s="2"/>
    </row>
    <row r="220" spans="1:16" s="3" customFormat="1" x14ac:dyDescent="0.25">
      <c r="A220" s="18"/>
      <c r="B220" s="940" t="str">
        <f t="shared" si="18"/>
        <v>Net Income (Loss) Before Taxes</v>
      </c>
      <c r="C220" s="941"/>
      <c r="D220" s="941"/>
      <c r="E220" s="941"/>
      <c r="F220" s="214" t="s">
        <v>560</v>
      </c>
      <c r="G220" s="272">
        <f>G216-G217-G218-G219</f>
        <v>0</v>
      </c>
      <c r="H220" s="272">
        <f t="shared" ref="H220" si="22">H216-H217-H218-H219</f>
        <v>0</v>
      </c>
      <c r="I220" s="272">
        <f t="shared" ref="I220:J220" si="23">I216-I217-I218-I219</f>
        <v>0</v>
      </c>
      <c r="J220" s="272">
        <f t="shared" si="23"/>
        <v>0</v>
      </c>
      <c r="K220" s="272">
        <f t="shared" ref="K220" si="24">K216-K217-K218-K219</f>
        <v>0</v>
      </c>
      <c r="L220" s="179"/>
    </row>
    <row r="221" spans="1:16" x14ac:dyDescent="0.25">
      <c r="B221" s="170"/>
      <c r="C221" s="171"/>
      <c r="D221" s="171"/>
      <c r="E221" s="171"/>
      <c r="F221" s="171"/>
      <c r="G221" s="171"/>
      <c r="H221" s="171"/>
      <c r="I221" s="171"/>
      <c r="J221" s="171"/>
      <c r="K221" s="171"/>
      <c r="L221" s="172"/>
      <c r="M221" s="2"/>
    </row>
    <row r="222" spans="1:16" s="3" customFormat="1" x14ac:dyDescent="0.25">
      <c r="A222" s="18"/>
      <c r="B222" s="612" t="str">
        <f>B35</f>
        <v>Explain any large changes between periods and any irregularities such as negative amounts in the amounts reported above.</v>
      </c>
      <c r="C222" s="613"/>
      <c r="D222" s="613"/>
      <c r="E222" s="613"/>
      <c r="F222" s="613"/>
      <c r="G222" s="613"/>
      <c r="H222" s="613"/>
      <c r="I222" s="613"/>
      <c r="J222" s="613"/>
      <c r="K222" s="613"/>
      <c r="L222" s="614"/>
      <c r="O222" s="2"/>
      <c r="P222" s="2"/>
    </row>
    <row r="223" spans="1:16" s="3" customFormat="1" x14ac:dyDescent="0.25">
      <c r="A223" s="18"/>
      <c r="B223" s="164"/>
      <c r="C223" s="151"/>
      <c r="D223" s="151"/>
      <c r="E223" s="151"/>
      <c r="F223" s="151"/>
      <c r="G223" s="151"/>
      <c r="H223" s="151"/>
      <c r="I223" s="151"/>
      <c r="J223" s="151"/>
      <c r="K223" s="151"/>
      <c r="L223" s="179"/>
    </row>
    <row r="224" spans="1:16" s="3" customFormat="1" x14ac:dyDescent="0.25">
      <c r="A224" s="18"/>
      <c r="B224" s="927"/>
      <c r="C224" s="928"/>
      <c r="D224" s="928"/>
      <c r="E224" s="928"/>
      <c r="F224" s="928"/>
      <c r="G224" s="928"/>
      <c r="H224" s="928"/>
      <c r="I224" s="928"/>
      <c r="J224" s="928"/>
      <c r="K224" s="928"/>
      <c r="L224" s="929"/>
    </row>
    <row r="225" spans="1:16" s="3" customFormat="1" x14ac:dyDescent="0.25">
      <c r="A225" s="18"/>
      <c r="B225" s="927"/>
      <c r="C225" s="928"/>
      <c r="D225" s="928"/>
      <c r="E225" s="928"/>
      <c r="F225" s="928"/>
      <c r="G225" s="928"/>
      <c r="H225" s="928"/>
      <c r="I225" s="928"/>
      <c r="J225" s="928"/>
      <c r="K225" s="928"/>
      <c r="L225" s="929"/>
    </row>
    <row r="226" spans="1:16" s="3" customFormat="1" x14ac:dyDescent="0.25">
      <c r="A226" s="18"/>
      <c r="B226" s="927"/>
      <c r="C226" s="928"/>
      <c r="D226" s="928"/>
      <c r="E226" s="928"/>
      <c r="F226" s="928"/>
      <c r="G226" s="928"/>
      <c r="H226" s="928"/>
      <c r="I226" s="928"/>
      <c r="J226" s="928"/>
      <c r="K226" s="928"/>
      <c r="L226" s="929"/>
    </row>
    <row r="227" spans="1:16" s="3" customFormat="1" x14ac:dyDescent="0.25">
      <c r="A227" s="18"/>
      <c r="B227" s="927"/>
      <c r="C227" s="928"/>
      <c r="D227" s="928"/>
      <c r="E227" s="928"/>
      <c r="F227" s="928"/>
      <c r="G227" s="928"/>
      <c r="H227" s="928"/>
      <c r="I227" s="928"/>
      <c r="J227" s="928"/>
      <c r="K227" s="928"/>
      <c r="L227" s="929"/>
      <c r="O227" s="2"/>
      <c r="P227" s="2"/>
    </row>
    <row r="228" spans="1:16" s="3" customFormat="1" x14ac:dyDescent="0.25">
      <c r="A228" s="18"/>
      <c r="B228" s="927"/>
      <c r="C228" s="928"/>
      <c r="D228" s="928"/>
      <c r="E228" s="928"/>
      <c r="F228" s="928"/>
      <c r="G228" s="928"/>
      <c r="H228" s="928"/>
      <c r="I228" s="928"/>
      <c r="J228" s="928"/>
      <c r="K228" s="928"/>
      <c r="L228" s="929"/>
      <c r="O228" s="2"/>
      <c r="P228" s="2"/>
    </row>
    <row r="229" spans="1:16" s="3" customFormat="1" x14ac:dyDescent="0.25">
      <c r="A229" s="18"/>
      <c r="B229" s="927"/>
      <c r="C229" s="928"/>
      <c r="D229" s="928"/>
      <c r="E229" s="928"/>
      <c r="F229" s="928"/>
      <c r="G229" s="928"/>
      <c r="H229" s="928"/>
      <c r="I229" s="928"/>
      <c r="J229" s="928"/>
      <c r="K229" s="928"/>
      <c r="L229" s="929"/>
      <c r="O229" s="2"/>
      <c r="P229" s="2"/>
    </row>
    <row r="230" spans="1:16" s="3" customFormat="1" x14ac:dyDescent="0.25">
      <c r="A230" s="18"/>
      <c r="B230" s="927"/>
      <c r="C230" s="928"/>
      <c r="D230" s="928"/>
      <c r="E230" s="928"/>
      <c r="F230" s="928"/>
      <c r="G230" s="928"/>
      <c r="H230" s="928"/>
      <c r="I230" s="928"/>
      <c r="J230" s="928"/>
      <c r="K230" s="928"/>
      <c r="L230" s="929"/>
    </row>
    <row r="231" spans="1:16" s="3" customFormat="1" x14ac:dyDescent="0.25">
      <c r="A231" s="18"/>
      <c r="B231" s="927"/>
      <c r="C231" s="928"/>
      <c r="D231" s="928"/>
      <c r="E231" s="928"/>
      <c r="F231" s="928"/>
      <c r="G231" s="928"/>
      <c r="H231" s="928"/>
      <c r="I231" s="928"/>
      <c r="J231" s="928"/>
      <c r="K231" s="928"/>
      <c r="L231" s="929"/>
    </row>
    <row r="232" spans="1:16" x14ac:dyDescent="0.25">
      <c r="B232" s="159"/>
      <c r="C232" s="160"/>
      <c r="D232" s="2"/>
      <c r="E232" s="2"/>
      <c r="F232" s="25"/>
      <c r="G232" s="26"/>
      <c r="H232" s="26"/>
      <c r="I232" s="26"/>
      <c r="J232" s="26"/>
      <c r="K232" s="26"/>
      <c r="L232" s="27"/>
      <c r="M232" s="2"/>
      <c r="O232" s="11"/>
    </row>
    <row r="233" spans="1:16" x14ac:dyDescent="0.25">
      <c r="B233" s="950" t="str">
        <f>IF(Intro!$G$21="English",O233,P233)</f>
        <v>Verification</v>
      </c>
      <c r="C233" s="951"/>
      <c r="D233" s="951"/>
      <c r="E233" s="951"/>
      <c r="F233" s="952"/>
      <c r="G233" s="826">
        <f>Variables!$B$6</f>
        <v>2023</v>
      </c>
      <c r="H233" s="826">
        <f>G233+1</f>
        <v>2024</v>
      </c>
      <c r="I233" s="826">
        <f>H233+1</f>
        <v>2025</v>
      </c>
      <c r="J233" s="826" t="str">
        <f>J209</f>
        <v>Jan-Mar 2025</v>
      </c>
      <c r="K233" s="826" t="str">
        <f>K209</f>
        <v>Jan-Mar 2026</v>
      </c>
      <c r="L233" s="179"/>
      <c r="M233" s="2"/>
      <c r="O233" s="11" t="s">
        <v>77</v>
      </c>
      <c r="P233" s="2" t="s">
        <v>204</v>
      </c>
    </row>
    <row r="234" spans="1:16" x14ac:dyDescent="0.25">
      <c r="B234" s="911"/>
      <c r="C234" s="912"/>
      <c r="D234" s="912"/>
      <c r="E234" s="912"/>
      <c r="F234" s="953"/>
      <c r="G234" s="827"/>
      <c r="H234" s="827"/>
      <c r="I234" s="827"/>
      <c r="J234" s="827"/>
      <c r="K234" s="827"/>
      <c r="L234" s="179"/>
      <c r="M234" s="2"/>
      <c r="O234" s="11"/>
    </row>
    <row r="235" spans="1:16" ht="23.25" customHeight="1" x14ac:dyDescent="0.25">
      <c r="B235" s="574" t="str">
        <f>IF(Intro!$G$21="English",O235,P235)</f>
        <v>Does the total net sales value reported in this question exceed your firm's total net sales value reported in question 11 in this tab?</v>
      </c>
      <c r="C235" s="575"/>
      <c r="D235" s="575"/>
      <c r="E235" s="575"/>
      <c r="F235" s="576"/>
      <c r="G235" s="915" t="str">
        <f>IF(SUM(G211,G187)&gt;G364,Variables!$D$58,Variables!$D$57)</f>
        <v>No</v>
      </c>
      <c r="H235" s="915" t="str">
        <f>IF(SUM(H211,H187)&gt;H364,Variables!$D$58,Variables!$D$57)</f>
        <v>No</v>
      </c>
      <c r="I235" s="915" t="str">
        <f>IF(SUM(I211,I187)&gt;I364,Variables!$D$58,Variables!$D$57)</f>
        <v>No</v>
      </c>
      <c r="J235" s="915" t="str">
        <f>IF(SUM(J211,J187)&gt;J364,Variables!$D$58,Variables!$D$57)</f>
        <v>No</v>
      </c>
      <c r="K235" s="915" t="str">
        <f>IF(SUM(K211,K187)&gt;K364,Variables!$D$58,Variables!$D$57)</f>
        <v>No</v>
      </c>
      <c r="L235" s="179"/>
      <c r="M235" s="2"/>
      <c r="O235" s="2" t="s">
        <v>871</v>
      </c>
      <c r="P235" s="2" t="s">
        <v>872</v>
      </c>
    </row>
    <row r="236" spans="1:16" ht="23.25" customHeight="1" x14ac:dyDescent="0.25">
      <c r="B236" s="634"/>
      <c r="C236" s="635"/>
      <c r="D236" s="635"/>
      <c r="E236" s="635"/>
      <c r="F236" s="914"/>
      <c r="G236" s="916"/>
      <c r="H236" s="916"/>
      <c r="I236" s="916"/>
      <c r="J236" s="916"/>
      <c r="K236" s="916"/>
      <c r="L236" s="179"/>
      <c r="M236" s="2"/>
    </row>
    <row r="237" spans="1:16" ht="23.25" customHeight="1" x14ac:dyDescent="0.25">
      <c r="B237" s="577"/>
      <c r="C237" s="578"/>
      <c r="D237" s="578"/>
      <c r="E237" s="578"/>
      <c r="F237" s="579"/>
      <c r="G237" s="917"/>
      <c r="H237" s="917"/>
      <c r="I237" s="917"/>
      <c r="J237" s="917"/>
      <c r="K237" s="917"/>
      <c r="L237" s="179"/>
      <c r="M237" s="2"/>
    </row>
    <row r="238" spans="1:16" ht="23.25" customHeight="1" x14ac:dyDescent="0.25">
      <c r="B238" s="574" t="str">
        <f>IF(Intro!$G$21="English",O238,P238)</f>
        <v>Does the net sales value (For Sale in Canada) reported in this question differ from the net delivered selling values (For Sale in Canada) reported in question 1 of the Pro 2 tab?</v>
      </c>
      <c r="C238" s="575"/>
      <c r="D238" s="575"/>
      <c r="E238" s="575"/>
      <c r="F238" s="576"/>
      <c r="G238" s="915" t="str">
        <f>IF(G187&lt;&gt;SUM('Pro 2'!G29,'Pro 2'!G32),Variables!$D$58,Variables!$D$57)</f>
        <v>No</v>
      </c>
      <c r="H238" s="915" t="str">
        <f>IF(H187&lt;&gt;SUM('Pro 2'!H29,'Pro 2'!H32),Variables!$D$58,Variables!$D$57)</f>
        <v>No</v>
      </c>
      <c r="I238" s="915" t="str">
        <f>IF(I187&lt;&gt;SUM('Pro 2'!I29,'Pro 2'!I32),Variables!$D$58,Variables!$D$57)</f>
        <v>No</v>
      </c>
      <c r="J238" s="915" t="str">
        <f>IF(J187&lt;&gt;SUM('Pro 2'!J29,'Pro 2'!J32),Variables!$D$58,Variables!$D$57)</f>
        <v>No</v>
      </c>
      <c r="K238" s="915" t="str">
        <f>IF(K187&lt;&gt;SUM('Pro 2'!K29,'Pro 2'!K32),Variables!$D$58,Variables!$D$57)</f>
        <v>No</v>
      </c>
      <c r="L238" s="179"/>
      <c r="M238" s="2"/>
      <c r="O238" s="2" t="s">
        <v>732</v>
      </c>
      <c r="P238" s="2" t="s">
        <v>734</v>
      </c>
    </row>
    <row r="239" spans="1:16" ht="23.25" customHeight="1" x14ac:dyDescent="0.25">
      <c r="B239" s="634"/>
      <c r="C239" s="635"/>
      <c r="D239" s="635"/>
      <c r="E239" s="635"/>
      <c r="F239" s="914"/>
      <c r="G239" s="916"/>
      <c r="H239" s="916"/>
      <c r="I239" s="916"/>
      <c r="J239" s="916"/>
      <c r="K239" s="916"/>
      <c r="L239" s="179"/>
      <c r="M239" s="2"/>
    </row>
    <row r="240" spans="1:16" ht="23.25" customHeight="1" x14ac:dyDescent="0.25">
      <c r="B240" s="577"/>
      <c r="C240" s="578"/>
      <c r="D240" s="578"/>
      <c r="E240" s="578"/>
      <c r="F240" s="579"/>
      <c r="G240" s="917"/>
      <c r="H240" s="917"/>
      <c r="I240" s="917"/>
      <c r="J240" s="917"/>
      <c r="K240" s="917"/>
      <c r="L240" s="179"/>
      <c r="M240" s="2"/>
    </row>
    <row r="241" spans="1:16" ht="23.25" customHeight="1" x14ac:dyDescent="0.25">
      <c r="B241" s="574" t="str">
        <f>IF(Intro!$G$21="English",O241,P241)</f>
        <v>Does the net sales value (For Export Sales) reported in this question differ from the net delivered selling values (For Export Sales) reported in question 1 of the Pro 2 tab?</v>
      </c>
      <c r="C241" s="575"/>
      <c r="D241" s="575"/>
      <c r="E241" s="575"/>
      <c r="F241" s="576"/>
      <c r="G241" s="915" t="str">
        <f>IF(G211&lt;&gt;'Pro 2'!G41,Variables!$D$58,Variables!$D$57)</f>
        <v>No</v>
      </c>
      <c r="H241" s="915" t="str">
        <f>IF(H211&lt;&gt;'Pro 2'!H41,Variables!$D$58,Variables!$D$57)</f>
        <v>No</v>
      </c>
      <c r="I241" s="915" t="str">
        <f>IF(I211&lt;&gt;'Pro 2'!I41,Variables!$D$58,Variables!$D$57)</f>
        <v>No</v>
      </c>
      <c r="J241" s="915" t="str">
        <f>IF(J211&lt;&gt;'Pro 2'!J41,Variables!$D$58,Variables!$D$57)</f>
        <v>No</v>
      </c>
      <c r="K241" s="915" t="str">
        <f>IF(K211&lt;&gt;'Pro 2'!K41,Variables!$D$58,Variables!$D$57)</f>
        <v>No</v>
      </c>
      <c r="L241" s="179"/>
      <c r="M241" s="2"/>
      <c r="O241" s="2" t="s">
        <v>733</v>
      </c>
      <c r="P241" s="2" t="s">
        <v>735</v>
      </c>
    </row>
    <row r="242" spans="1:16" ht="23.25" customHeight="1" x14ac:dyDescent="0.25">
      <c r="B242" s="634"/>
      <c r="C242" s="635"/>
      <c r="D242" s="635"/>
      <c r="E242" s="635"/>
      <c r="F242" s="914"/>
      <c r="G242" s="916"/>
      <c r="H242" s="916"/>
      <c r="I242" s="916"/>
      <c r="J242" s="916"/>
      <c r="K242" s="916"/>
      <c r="L242" s="179"/>
      <c r="M242" s="2"/>
    </row>
    <row r="243" spans="1:16" ht="23.25" customHeight="1" x14ac:dyDescent="0.25">
      <c r="B243" s="577"/>
      <c r="C243" s="578"/>
      <c r="D243" s="578"/>
      <c r="E243" s="578"/>
      <c r="F243" s="579"/>
      <c r="G243" s="917"/>
      <c r="H243" s="917"/>
      <c r="I243" s="917"/>
      <c r="J243" s="917"/>
      <c r="K243" s="917"/>
      <c r="L243" s="179"/>
      <c r="M243" s="2"/>
    </row>
    <row r="244" spans="1:16" s="157" customFormat="1" ht="23.25" customHeight="1" x14ac:dyDescent="0.25">
      <c r="A244" s="211"/>
      <c r="B244" s="954" t="str">
        <f>IF(Intro!$G$21="English",O244,P244)</f>
        <v>Does the total ending inventory reported in this question differ from the total ending inventory reported in question 1 of the Pro 2 tab?</v>
      </c>
      <c r="C244" s="955"/>
      <c r="D244" s="955"/>
      <c r="E244" s="955"/>
      <c r="F244" s="956"/>
      <c r="G244" s="915" t="str">
        <f>IF(SUM(G190,G214)&lt;&gt;'Pro 2'!G44,Variables!$D$58,Variables!$D$57)</f>
        <v>No</v>
      </c>
      <c r="H244" s="915" t="str">
        <f>IF(SUM(H190,H214)&lt;&gt;'Pro 2'!H44,Variables!$D$58,Variables!$D$57)</f>
        <v>No</v>
      </c>
      <c r="I244" s="915" t="str">
        <f>IF(SUM(I190,I214)&lt;&gt;'Pro 2'!I44,Variables!$D$58,Variables!$D$57)</f>
        <v>No</v>
      </c>
      <c r="J244" s="915" t="str">
        <f>IF(SUM(J190,J214)&lt;&gt;'Pro 2'!J44,Variables!$D$58,Variables!$D$57)</f>
        <v>No</v>
      </c>
      <c r="K244" s="915" t="str">
        <f>IF(SUM(K190,K214)&lt;&gt;'Pro 2'!K44,Variables!$D$58,Variables!$D$57)</f>
        <v>No</v>
      </c>
      <c r="L244" s="189"/>
      <c r="O244" s="2" t="s">
        <v>710</v>
      </c>
      <c r="P244" s="2" t="s">
        <v>751</v>
      </c>
    </row>
    <row r="245" spans="1:16" s="157" customFormat="1" ht="23.25" customHeight="1" x14ac:dyDescent="0.25">
      <c r="A245" s="211"/>
      <c r="B245" s="957"/>
      <c r="C245" s="958"/>
      <c r="D245" s="958"/>
      <c r="E245" s="958"/>
      <c r="F245" s="959"/>
      <c r="G245" s="916"/>
      <c r="H245" s="916"/>
      <c r="I245" s="916"/>
      <c r="J245" s="916"/>
      <c r="K245" s="916"/>
      <c r="L245" s="189"/>
      <c r="O245" s="2"/>
      <c r="P245" s="2"/>
    </row>
    <row r="246" spans="1:16" ht="23.25" customHeight="1" x14ac:dyDescent="0.25">
      <c r="B246" s="960"/>
      <c r="C246" s="961"/>
      <c r="D246" s="961"/>
      <c r="E246" s="961"/>
      <c r="F246" s="962"/>
      <c r="G246" s="917"/>
      <c r="H246" s="917"/>
      <c r="I246" s="917"/>
      <c r="J246" s="917"/>
      <c r="K246" s="917"/>
      <c r="L246" s="179"/>
      <c r="M246" s="2"/>
    </row>
    <row r="247" spans="1:16" x14ac:dyDescent="0.25">
      <c r="B247" s="159"/>
      <c r="C247" s="160"/>
      <c r="D247" s="160"/>
      <c r="E247" s="29"/>
      <c r="F247" s="29"/>
      <c r="G247" s="29"/>
      <c r="H247" s="29"/>
      <c r="I247" s="29"/>
      <c r="J247" s="29"/>
      <c r="K247" s="29"/>
      <c r="L247" s="30"/>
      <c r="M247" s="2"/>
      <c r="O247" s="152"/>
      <c r="P247" s="152"/>
    </row>
    <row r="248" spans="1:16" s="3" customFormat="1" x14ac:dyDescent="0.25">
      <c r="A248" s="12"/>
      <c r="B248" s="705"/>
      <c r="C248" s="706"/>
      <c r="D248" s="706"/>
      <c r="E248" s="706"/>
      <c r="F248" s="706"/>
      <c r="G248" s="706"/>
      <c r="H248" s="706"/>
      <c r="I248" s="706"/>
      <c r="J248" s="706"/>
      <c r="K248" s="706"/>
      <c r="L248" s="707"/>
      <c r="M248" s="152"/>
      <c r="O248" s="154"/>
      <c r="P248" s="154"/>
    </row>
    <row r="249" spans="1:16" s="3" customFormat="1" x14ac:dyDescent="0.25">
      <c r="A249" s="12"/>
      <c r="B249" s="705"/>
      <c r="C249" s="706"/>
      <c r="D249" s="706"/>
      <c r="E249" s="706"/>
      <c r="F249" s="706"/>
      <c r="G249" s="706"/>
      <c r="H249" s="706"/>
      <c r="I249" s="706"/>
      <c r="J249" s="706"/>
      <c r="K249" s="706"/>
      <c r="L249" s="707"/>
      <c r="M249" s="152"/>
      <c r="O249" s="154"/>
      <c r="P249" s="154"/>
    </row>
    <row r="250" spans="1:16" s="3" customFormat="1" x14ac:dyDescent="0.25">
      <c r="A250" s="12"/>
      <c r="B250" s="705"/>
      <c r="C250" s="706"/>
      <c r="D250" s="706"/>
      <c r="E250" s="706"/>
      <c r="F250" s="706"/>
      <c r="G250" s="706"/>
      <c r="H250" s="706"/>
      <c r="I250" s="706"/>
      <c r="J250" s="706"/>
      <c r="K250" s="706"/>
      <c r="L250" s="707"/>
      <c r="M250" s="152"/>
      <c r="O250" s="154"/>
      <c r="P250" s="154"/>
    </row>
    <row r="251" spans="1:16" s="3" customFormat="1" x14ac:dyDescent="0.25">
      <c r="A251" s="12"/>
      <c r="B251" s="705"/>
      <c r="C251" s="706"/>
      <c r="D251" s="706"/>
      <c r="E251" s="706"/>
      <c r="F251" s="706"/>
      <c r="G251" s="706"/>
      <c r="H251" s="706"/>
      <c r="I251" s="706"/>
      <c r="J251" s="706"/>
      <c r="K251" s="706"/>
      <c r="L251" s="707"/>
      <c r="M251" s="152"/>
      <c r="O251" s="154"/>
      <c r="P251" s="154"/>
    </row>
    <row r="252" spans="1:16" s="3" customFormat="1" x14ac:dyDescent="0.25">
      <c r="A252" s="12"/>
      <c r="B252" s="705"/>
      <c r="C252" s="706"/>
      <c r="D252" s="706"/>
      <c r="E252" s="706"/>
      <c r="F252" s="706"/>
      <c r="G252" s="706"/>
      <c r="H252" s="706"/>
      <c r="I252" s="706"/>
      <c r="J252" s="706"/>
      <c r="K252" s="706"/>
      <c r="L252" s="707"/>
      <c r="M252" s="152"/>
      <c r="O252" s="154"/>
      <c r="P252" s="154"/>
    </row>
    <row r="253" spans="1:16" s="3" customFormat="1" x14ac:dyDescent="0.25">
      <c r="A253" s="12"/>
      <c r="B253" s="705"/>
      <c r="C253" s="706"/>
      <c r="D253" s="706"/>
      <c r="E253" s="706"/>
      <c r="F253" s="706"/>
      <c r="G253" s="706"/>
      <c r="H253" s="706"/>
      <c r="I253" s="706"/>
      <c r="J253" s="706"/>
      <c r="K253" s="706"/>
      <c r="L253" s="707"/>
      <c r="M253" s="152"/>
      <c r="O253" s="154"/>
      <c r="P253" s="154"/>
    </row>
    <row r="254" spans="1:16" s="3" customFormat="1" x14ac:dyDescent="0.25">
      <c r="A254" s="12"/>
      <c r="B254" s="705"/>
      <c r="C254" s="706"/>
      <c r="D254" s="706"/>
      <c r="E254" s="706"/>
      <c r="F254" s="706"/>
      <c r="G254" s="706"/>
      <c r="H254" s="706"/>
      <c r="I254" s="706"/>
      <c r="J254" s="706"/>
      <c r="K254" s="706"/>
      <c r="L254" s="707"/>
      <c r="M254" s="152"/>
      <c r="O254" s="154"/>
      <c r="P254" s="154"/>
    </row>
    <row r="255" spans="1:16" s="3" customFormat="1" x14ac:dyDescent="0.25">
      <c r="A255" s="12"/>
      <c r="B255" s="705"/>
      <c r="C255" s="706"/>
      <c r="D255" s="706"/>
      <c r="E255" s="706"/>
      <c r="F255" s="706"/>
      <c r="G255" s="706"/>
      <c r="H255" s="706"/>
      <c r="I255" s="706"/>
      <c r="J255" s="706"/>
      <c r="K255" s="706"/>
      <c r="L255" s="707"/>
      <c r="M255" s="152"/>
      <c r="O255" s="154"/>
      <c r="P255" s="154"/>
    </row>
    <row r="256" spans="1:16" x14ac:dyDescent="0.25">
      <c r="B256" s="170"/>
      <c r="C256" s="171"/>
      <c r="D256" s="171"/>
      <c r="E256" s="171"/>
      <c r="F256" s="171"/>
      <c r="G256" s="171"/>
      <c r="H256" s="171"/>
      <c r="I256" s="171"/>
      <c r="J256" s="171"/>
      <c r="K256" s="171"/>
      <c r="L256" s="172"/>
      <c r="M256" s="2"/>
    </row>
    <row r="257" spans="1:16" s="3" customFormat="1" x14ac:dyDescent="0.25">
      <c r="A257" s="12"/>
      <c r="B257" s="711" t="s">
        <v>30</v>
      </c>
      <c r="C257" s="712"/>
      <c r="D257" s="712"/>
      <c r="E257" s="712"/>
      <c r="F257" s="712"/>
      <c r="G257" s="712"/>
      <c r="H257" s="712"/>
      <c r="I257" s="712"/>
      <c r="J257" s="712"/>
      <c r="K257" s="712"/>
      <c r="L257" s="713"/>
      <c r="M257" s="168"/>
    </row>
    <row r="258" spans="1:16" x14ac:dyDescent="0.25">
      <c r="B258" s="170"/>
      <c r="C258" s="171"/>
      <c r="D258" s="171"/>
      <c r="E258" s="171"/>
      <c r="F258" s="171"/>
      <c r="G258" s="171"/>
      <c r="H258" s="171"/>
      <c r="I258" s="171"/>
      <c r="J258" s="171"/>
      <c r="K258" s="171"/>
      <c r="L258" s="172"/>
      <c r="M258" s="2"/>
    </row>
    <row r="259" spans="1:16" x14ac:dyDescent="0.25">
      <c r="B259" s="708" t="str">
        <f>IF(Intro!$G$21="English",O259,P259)</f>
        <v>Describe how your firm allocated the following expenses in your response to the income statements provided in Question 5 of this tab:</v>
      </c>
      <c r="C259" s="709"/>
      <c r="D259" s="709"/>
      <c r="E259" s="709"/>
      <c r="F259" s="709"/>
      <c r="G259" s="709"/>
      <c r="H259" s="709"/>
      <c r="I259" s="709"/>
      <c r="J259" s="709"/>
      <c r="K259" s="709"/>
      <c r="L259" s="710"/>
      <c r="M259" s="2"/>
      <c r="O259" s="2" t="s">
        <v>794</v>
      </c>
      <c r="P259" s="2" t="s">
        <v>795</v>
      </c>
    </row>
    <row r="260" spans="1:16" x14ac:dyDescent="0.25">
      <c r="B260" s="170"/>
      <c r="C260" s="171"/>
      <c r="D260" s="171"/>
      <c r="E260" s="171"/>
      <c r="F260" s="171"/>
      <c r="G260" s="171"/>
      <c r="H260" s="171"/>
      <c r="I260" s="171"/>
      <c r="J260" s="171"/>
      <c r="K260" s="171"/>
      <c r="L260" s="172"/>
      <c r="M260" s="2"/>
    </row>
    <row r="261" spans="1:16" x14ac:dyDescent="0.25">
      <c r="B261" s="590" t="str">
        <f>IF(Intro!$G$21="English",O261,P261)</f>
        <v>General, Selling, and Administrative Expenses</v>
      </c>
      <c r="C261" s="591"/>
      <c r="D261" s="942"/>
      <c r="E261" s="942"/>
      <c r="F261" s="942"/>
      <c r="G261" s="942"/>
      <c r="H261" s="942"/>
      <c r="I261" s="942"/>
      <c r="J261" s="942"/>
      <c r="K261" s="942"/>
      <c r="L261" s="818"/>
      <c r="M261" s="2"/>
      <c r="O261" s="11" t="s">
        <v>75</v>
      </c>
      <c r="P261" s="11" t="s">
        <v>76</v>
      </c>
    </row>
    <row r="262" spans="1:16" x14ac:dyDescent="0.25">
      <c r="B262" s="590"/>
      <c r="C262" s="591"/>
      <c r="D262" s="942"/>
      <c r="E262" s="942"/>
      <c r="F262" s="942"/>
      <c r="G262" s="942"/>
      <c r="H262" s="942"/>
      <c r="I262" s="942"/>
      <c r="J262" s="942"/>
      <c r="K262" s="942"/>
      <c r="L262" s="818"/>
      <c r="M262" s="2"/>
      <c r="O262" s="11"/>
      <c r="P262" s="11"/>
    </row>
    <row r="263" spans="1:16" x14ac:dyDescent="0.25">
      <c r="B263" s="590"/>
      <c r="C263" s="591"/>
      <c r="D263" s="942"/>
      <c r="E263" s="942"/>
      <c r="F263" s="942"/>
      <c r="G263" s="942"/>
      <c r="H263" s="942"/>
      <c r="I263" s="942"/>
      <c r="J263" s="942"/>
      <c r="K263" s="942"/>
      <c r="L263" s="818"/>
      <c r="M263" s="2"/>
      <c r="O263" s="11"/>
      <c r="P263" s="11"/>
    </row>
    <row r="264" spans="1:16" x14ac:dyDescent="0.25">
      <c r="B264" s="590"/>
      <c r="C264" s="591"/>
      <c r="D264" s="942"/>
      <c r="E264" s="942"/>
      <c r="F264" s="942"/>
      <c r="G264" s="942"/>
      <c r="H264" s="942"/>
      <c r="I264" s="942"/>
      <c r="J264" s="942"/>
      <c r="K264" s="942"/>
      <c r="L264" s="818"/>
      <c r="M264" s="2"/>
      <c r="O264" s="11"/>
      <c r="P264" s="11"/>
    </row>
    <row r="265" spans="1:16" x14ac:dyDescent="0.25">
      <c r="B265" s="590"/>
      <c r="C265" s="591"/>
      <c r="D265" s="942"/>
      <c r="E265" s="942"/>
      <c r="F265" s="942"/>
      <c r="G265" s="942"/>
      <c r="H265" s="942"/>
      <c r="I265" s="942"/>
      <c r="J265" s="942"/>
      <c r="K265" s="942"/>
      <c r="L265" s="818"/>
      <c r="M265" s="2"/>
      <c r="O265" s="11"/>
      <c r="P265" s="11"/>
    </row>
    <row r="266" spans="1:16" x14ac:dyDescent="0.25">
      <c r="B266" s="590"/>
      <c r="C266" s="591"/>
      <c r="D266" s="942"/>
      <c r="E266" s="942"/>
      <c r="F266" s="942"/>
      <c r="G266" s="942"/>
      <c r="H266" s="942"/>
      <c r="I266" s="942"/>
      <c r="J266" s="942"/>
      <c r="K266" s="942"/>
      <c r="L266" s="818"/>
      <c r="M266" s="2"/>
      <c r="O266" s="11"/>
      <c r="P266" s="11"/>
    </row>
    <row r="267" spans="1:16" x14ac:dyDescent="0.25">
      <c r="B267" s="590"/>
      <c r="C267" s="591"/>
      <c r="D267" s="942"/>
      <c r="E267" s="942"/>
      <c r="F267" s="942"/>
      <c r="G267" s="942"/>
      <c r="H267" s="942"/>
      <c r="I267" s="942"/>
      <c r="J267" s="942"/>
      <c r="K267" s="942"/>
      <c r="L267" s="818"/>
      <c r="M267" s="2"/>
      <c r="O267" s="11"/>
      <c r="P267" s="11"/>
    </row>
    <row r="268" spans="1:16" x14ac:dyDescent="0.25">
      <c r="B268" s="590"/>
      <c r="C268" s="591"/>
      <c r="D268" s="942"/>
      <c r="E268" s="942"/>
      <c r="F268" s="942"/>
      <c r="G268" s="942"/>
      <c r="H268" s="942"/>
      <c r="I268" s="942"/>
      <c r="J268" s="942"/>
      <c r="K268" s="942"/>
      <c r="L268" s="818"/>
      <c r="M268" s="2"/>
      <c r="O268" s="11"/>
      <c r="P268" s="11"/>
    </row>
    <row r="269" spans="1:16" x14ac:dyDescent="0.25">
      <c r="B269" s="590" t="str">
        <f>IF(Intro!$G$21="English",O269,P269)</f>
        <v xml:space="preserve">Financial Expenses </v>
      </c>
      <c r="C269" s="591"/>
      <c r="D269" s="942"/>
      <c r="E269" s="942"/>
      <c r="F269" s="942"/>
      <c r="G269" s="942"/>
      <c r="H269" s="942"/>
      <c r="I269" s="942"/>
      <c r="J269" s="942"/>
      <c r="K269" s="942"/>
      <c r="L269" s="818"/>
      <c r="M269" s="2"/>
      <c r="O269" s="11" t="s">
        <v>53</v>
      </c>
      <c r="P269" s="11" t="s">
        <v>54</v>
      </c>
    </row>
    <row r="270" spans="1:16" x14ac:dyDescent="0.25">
      <c r="B270" s="590"/>
      <c r="C270" s="591"/>
      <c r="D270" s="942"/>
      <c r="E270" s="942"/>
      <c r="F270" s="942"/>
      <c r="G270" s="942"/>
      <c r="H270" s="942"/>
      <c r="I270" s="942"/>
      <c r="J270" s="942"/>
      <c r="K270" s="942"/>
      <c r="L270" s="818"/>
      <c r="M270" s="2"/>
    </row>
    <row r="271" spans="1:16" x14ac:dyDescent="0.25">
      <c r="B271" s="590"/>
      <c r="C271" s="591"/>
      <c r="D271" s="942"/>
      <c r="E271" s="942"/>
      <c r="F271" s="942"/>
      <c r="G271" s="942"/>
      <c r="H271" s="942"/>
      <c r="I271" s="942"/>
      <c r="J271" s="942"/>
      <c r="K271" s="942"/>
      <c r="L271" s="818"/>
      <c r="M271" s="2"/>
      <c r="O271" s="11"/>
      <c r="P271" s="11"/>
    </row>
    <row r="272" spans="1:16" x14ac:dyDescent="0.25">
      <c r="B272" s="590"/>
      <c r="C272" s="591"/>
      <c r="D272" s="942"/>
      <c r="E272" s="942"/>
      <c r="F272" s="942"/>
      <c r="G272" s="942"/>
      <c r="H272" s="942"/>
      <c r="I272" s="942"/>
      <c r="J272" s="942"/>
      <c r="K272" s="942"/>
      <c r="L272" s="818"/>
      <c r="M272" s="2"/>
      <c r="O272" s="11"/>
      <c r="P272" s="11"/>
    </row>
    <row r="273" spans="1:16" x14ac:dyDescent="0.25">
      <c r="B273" s="590"/>
      <c r="C273" s="591"/>
      <c r="D273" s="942"/>
      <c r="E273" s="942"/>
      <c r="F273" s="942"/>
      <c r="G273" s="942"/>
      <c r="H273" s="942"/>
      <c r="I273" s="942"/>
      <c r="J273" s="942"/>
      <c r="K273" s="942"/>
      <c r="L273" s="818"/>
      <c r="M273" s="2"/>
      <c r="O273" s="11"/>
      <c r="P273" s="11"/>
    </row>
    <row r="274" spans="1:16" x14ac:dyDescent="0.25">
      <c r="B274" s="590"/>
      <c r="C274" s="591"/>
      <c r="D274" s="942"/>
      <c r="E274" s="942"/>
      <c r="F274" s="942"/>
      <c r="G274" s="942"/>
      <c r="H274" s="942"/>
      <c r="I274" s="942"/>
      <c r="J274" s="942"/>
      <c r="K274" s="942"/>
      <c r="L274" s="818"/>
      <c r="M274" s="2"/>
      <c r="O274" s="11"/>
      <c r="P274" s="11"/>
    </row>
    <row r="275" spans="1:16" x14ac:dyDescent="0.25">
      <c r="B275" s="590"/>
      <c r="C275" s="591"/>
      <c r="D275" s="942"/>
      <c r="E275" s="942"/>
      <c r="F275" s="942"/>
      <c r="G275" s="942"/>
      <c r="H275" s="942"/>
      <c r="I275" s="942"/>
      <c r="J275" s="942"/>
      <c r="K275" s="942"/>
      <c r="L275" s="818"/>
      <c r="M275" s="2"/>
      <c r="O275" s="11"/>
      <c r="P275" s="11"/>
    </row>
    <row r="276" spans="1:16" x14ac:dyDescent="0.25">
      <c r="B276" s="590"/>
      <c r="C276" s="591"/>
      <c r="D276" s="942"/>
      <c r="E276" s="942"/>
      <c r="F276" s="942"/>
      <c r="G276" s="942"/>
      <c r="H276" s="942"/>
      <c r="I276" s="942"/>
      <c r="J276" s="942"/>
      <c r="K276" s="942"/>
      <c r="L276" s="818"/>
      <c r="M276" s="2"/>
      <c r="O276" s="11"/>
      <c r="P276" s="11"/>
    </row>
    <row r="277" spans="1:16" x14ac:dyDescent="0.25">
      <c r="B277" s="590" t="str">
        <f>IF(Intro!$G$21="English",O277,P277)</f>
        <v>Other Expenses</v>
      </c>
      <c r="C277" s="591"/>
      <c r="D277" s="942"/>
      <c r="E277" s="942"/>
      <c r="F277" s="942"/>
      <c r="G277" s="942"/>
      <c r="H277" s="942"/>
      <c r="I277" s="942"/>
      <c r="J277" s="942"/>
      <c r="K277" s="942"/>
      <c r="L277" s="818"/>
      <c r="M277" s="2"/>
      <c r="O277" s="11" t="s">
        <v>114</v>
      </c>
      <c r="P277" s="11" t="s">
        <v>115</v>
      </c>
    </row>
    <row r="278" spans="1:16" x14ac:dyDescent="0.25">
      <c r="B278" s="590"/>
      <c r="C278" s="591"/>
      <c r="D278" s="942"/>
      <c r="E278" s="942"/>
      <c r="F278" s="942"/>
      <c r="G278" s="942"/>
      <c r="H278" s="942"/>
      <c r="I278" s="942"/>
      <c r="J278" s="942"/>
      <c r="K278" s="942"/>
      <c r="L278" s="818"/>
      <c r="M278" s="2"/>
      <c r="O278" s="11"/>
      <c r="P278" s="11"/>
    </row>
    <row r="279" spans="1:16" x14ac:dyDescent="0.25">
      <c r="B279" s="590"/>
      <c r="C279" s="591"/>
      <c r="D279" s="942"/>
      <c r="E279" s="942"/>
      <c r="F279" s="942"/>
      <c r="G279" s="942"/>
      <c r="H279" s="942"/>
      <c r="I279" s="942"/>
      <c r="J279" s="942"/>
      <c r="K279" s="942"/>
      <c r="L279" s="818"/>
      <c r="M279" s="2"/>
      <c r="O279" s="11"/>
      <c r="P279" s="11"/>
    </row>
    <row r="280" spans="1:16" x14ac:dyDescent="0.25">
      <c r="B280" s="590"/>
      <c r="C280" s="591"/>
      <c r="D280" s="942"/>
      <c r="E280" s="942"/>
      <c r="F280" s="942"/>
      <c r="G280" s="942"/>
      <c r="H280" s="942"/>
      <c r="I280" s="942"/>
      <c r="J280" s="942"/>
      <c r="K280" s="942"/>
      <c r="L280" s="818"/>
      <c r="M280" s="2"/>
      <c r="O280" s="11"/>
      <c r="P280" s="11"/>
    </row>
    <row r="281" spans="1:16" x14ac:dyDescent="0.25">
      <c r="B281" s="590"/>
      <c r="C281" s="591"/>
      <c r="D281" s="942"/>
      <c r="E281" s="942"/>
      <c r="F281" s="942"/>
      <c r="G281" s="942"/>
      <c r="H281" s="942"/>
      <c r="I281" s="942"/>
      <c r="J281" s="942"/>
      <c r="K281" s="942"/>
      <c r="L281" s="818"/>
      <c r="M281" s="2"/>
      <c r="O281" s="11"/>
      <c r="P281" s="11"/>
    </row>
    <row r="282" spans="1:16" x14ac:dyDescent="0.25">
      <c r="B282" s="590"/>
      <c r="C282" s="591"/>
      <c r="D282" s="942"/>
      <c r="E282" s="942"/>
      <c r="F282" s="942"/>
      <c r="G282" s="942"/>
      <c r="H282" s="942"/>
      <c r="I282" s="942"/>
      <c r="J282" s="942"/>
      <c r="K282" s="942"/>
      <c r="L282" s="818"/>
      <c r="M282" s="2"/>
      <c r="O282" s="11"/>
      <c r="P282" s="11"/>
    </row>
    <row r="283" spans="1:16" x14ac:dyDescent="0.25">
      <c r="B283" s="590"/>
      <c r="C283" s="591"/>
      <c r="D283" s="942"/>
      <c r="E283" s="942"/>
      <c r="F283" s="942"/>
      <c r="G283" s="942"/>
      <c r="H283" s="942"/>
      <c r="I283" s="942"/>
      <c r="J283" s="942"/>
      <c r="K283" s="942"/>
      <c r="L283" s="818"/>
      <c r="M283" s="2"/>
      <c r="O283" s="11"/>
      <c r="P283" s="11"/>
    </row>
    <row r="284" spans="1:16" x14ac:dyDescent="0.25">
      <c r="B284" s="590"/>
      <c r="C284" s="591"/>
      <c r="D284" s="942"/>
      <c r="E284" s="942"/>
      <c r="F284" s="942"/>
      <c r="G284" s="942"/>
      <c r="H284" s="942"/>
      <c r="I284" s="942"/>
      <c r="J284" s="942"/>
      <c r="K284" s="942"/>
      <c r="L284" s="818"/>
      <c r="M284" s="2"/>
      <c r="O284" s="11"/>
      <c r="P284" s="11"/>
    </row>
    <row r="285" spans="1:16" x14ac:dyDescent="0.25">
      <c r="B285" s="176"/>
      <c r="C285" s="177"/>
      <c r="D285" s="177"/>
      <c r="E285" s="177"/>
      <c r="F285" s="177"/>
      <c r="G285" s="177"/>
      <c r="H285" s="177"/>
      <c r="I285" s="177"/>
      <c r="J285" s="177"/>
      <c r="K285" s="177"/>
      <c r="L285" s="178"/>
      <c r="M285" s="2"/>
    </row>
    <row r="286" spans="1:16" s="3" customFormat="1" x14ac:dyDescent="0.25">
      <c r="A286" s="12"/>
      <c r="B286" s="711" t="s">
        <v>31</v>
      </c>
      <c r="C286" s="712"/>
      <c r="D286" s="712"/>
      <c r="E286" s="712"/>
      <c r="F286" s="712"/>
      <c r="G286" s="712"/>
      <c r="H286" s="712"/>
      <c r="I286" s="712"/>
      <c r="J286" s="712"/>
      <c r="K286" s="712"/>
      <c r="L286" s="713"/>
      <c r="M286" s="168"/>
    </row>
    <row r="287" spans="1:16" x14ac:dyDescent="0.25">
      <c r="B287" s="170"/>
      <c r="C287" s="171"/>
      <c r="D287" s="171"/>
      <c r="E287" s="171"/>
      <c r="F287" s="171"/>
      <c r="G287" s="171"/>
      <c r="H287" s="171"/>
      <c r="I287" s="171"/>
      <c r="J287" s="171"/>
      <c r="K287" s="171"/>
      <c r="L287" s="172"/>
      <c r="M287" s="2"/>
    </row>
    <row r="288" spans="1:16" x14ac:dyDescent="0.25">
      <c r="B288" s="634" t="str">
        <f>IF(Intro!$G$21="English",O288,P288)</f>
        <v>Describe your firm's plans to manage financial performance in the next two years. Provide the rationale and assumptions underlying these strategies and objectives.</v>
      </c>
      <c r="C288" s="635"/>
      <c r="D288" s="635"/>
      <c r="E288" s="635"/>
      <c r="F288" s="635"/>
      <c r="G288" s="635"/>
      <c r="H288" s="635"/>
      <c r="I288" s="635"/>
      <c r="J288" s="635"/>
      <c r="K288" s="635"/>
      <c r="L288" s="636"/>
      <c r="M288" s="2"/>
      <c r="O288" s="2" t="s">
        <v>385</v>
      </c>
      <c r="P288" s="2" t="s">
        <v>258</v>
      </c>
    </row>
    <row r="289" spans="1:16" x14ac:dyDescent="0.25">
      <c r="B289" s="170"/>
      <c r="C289" s="171"/>
      <c r="D289" s="171"/>
      <c r="E289" s="171"/>
      <c r="F289" s="171"/>
      <c r="G289" s="171"/>
      <c r="H289" s="171"/>
      <c r="I289" s="171"/>
      <c r="J289" s="171"/>
      <c r="K289" s="171"/>
      <c r="L289" s="172"/>
      <c r="M289" s="2"/>
    </row>
    <row r="290" spans="1:16" s="3" customFormat="1" x14ac:dyDescent="0.25">
      <c r="A290" s="12"/>
      <c r="B290" s="705"/>
      <c r="C290" s="706"/>
      <c r="D290" s="706"/>
      <c r="E290" s="706"/>
      <c r="F290" s="706"/>
      <c r="G290" s="706"/>
      <c r="H290" s="706"/>
      <c r="I290" s="706"/>
      <c r="J290" s="706"/>
      <c r="K290" s="706"/>
      <c r="L290" s="707"/>
      <c r="M290" s="152"/>
      <c r="O290" s="154"/>
      <c r="P290" s="154"/>
    </row>
    <row r="291" spans="1:16" s="3" customFormat="1" x14ac:dyDescent="0.25">
      <c r="A291" s="12"/>
      <c r="B291" s="705"/>
      <c r="C291" s="706"/>
      <c r="D291" s="706"/>
      <c r="E291" s="706"/>
      <c r="F291" s="706"/>
      <c r="G291" s="706"/>
      <c r="H291" s="706"/>
      <c r="I291" s="706"/>
      <c r="J291" s="706"/>
      <c r="K291" s="706"/>
      <c r="L291" s="707"/>
      <c r="M291" s="152"/>
      <c r="O291" s="154"/>
      <c r="P291" s="154"/>
    </row>
    <row r="292" spans="1:16" s="3" customFormat="1" x14ac:dyDescent="0.25">
      <c r="A292" s="12"/>
      <c r="B292" s="705"/>
      <c r="C292" s="706"/>
      <c r="D292" s="706"/>
      <c r="E292" s="706"/>
      <c r="F292" s="706"/>
      <c r="G292" s="706"/>
      <c r="H292" s="706"/>
      <c r="I292" s="706"/>
      <c r="J292" s="706"/>
      <c r="K292" s="706"/>
      <c r="L292" s="707"/>
      <c r="M292" s="152"/>
      <c r="O292" s="154"/>
      <c r="P292" s="154"/>
    </row>
    <row r="293" spans="1:16" s="3" customFormat="1" x14ac:dyDescent="0.25">
      <c r="A293" s="12"/>
      <c r="B293" s="705"/>
      <c r="C293" s="706"/>
      <c r="D293" s="706"/>
      <c r="E293" s="706"/>
      <c r="F293" s="706"/>
      <c r="G293" s="706"/>
      <c r="H293" s="706"/>
      <c r="I293" s="706"/>
      <c r="J293" s="706"/>
      <c r="K293" s="706"/>
      <c r="L293" s="707"/>
      <c r="M293" s="152"/>
      <c r="O293" s="154"/>
      <c r="P293" s="154"/>
    </row>
    <row r="294" spans="1:16" s="3" customFormat="1" x14ac:dyDescent="0.25">
      <c r="A294" s="12"/>
      <c r="B294" s="705"/>
      <c r="C294" s="706"/>
      <c r="D294" s="706"/>
      <c r="E294" s="706"/>
      <c r="F294" s="706"/>
      <c r="G294" s="706"/>
      <c r="H294" s="706"/>
      <c r="I294" s="706"/>
      <c r="J294" s="706"/>
      <c r="K294" s="706"/>
      <c r="L294" s="707"/>
      <c r="M294" s="152"/>
      <c r="O294" s="154"/>
      <c r="P294" s="154"/>
    </row>
    <row r="295" spans="1:16" s="3" customFormat="1" x14ac:dyDescent="0.25">
      <c r="A295" s="12"/>
      <c r="B295" s="705"/>
      <c r="C295" s="706"/>
      <c r="D295" s="706"/>
      <c r="E295" s="706"/>
      <c r="F295" s="706"/>
      <c r="G295" s="706"/>
      <c r="H295" s="706"/>
      <c r="I295" s="706"/>
      <c r="J295" s="706"/>
      <c r="K295" s="706"/>
      <c r="L295" s="707"/>
      <c r="M295" s="152"/>
      <c r="O295" s="154"/>
      <c r="P295" s="154"/>
    </row>
    <row r="296" spans="1:16" s="3" customFormat="1" x14ac:dyDescent="0.25">
      <c r="A296" s="12"/>
      <c r="B296" s="705"/>
      <c r="C296" s="706"/>
      <c r="D296" s="706"/>
      <c r="E296" s="706"/>
      <c r="F296" s="706"/>
      <c r="G296" s="706"/>
      <c r="H296" s="706"/>
      <c r="I296" s="706"/>
      <c r="J296" s="706"/>
      <c r="K296" s="706"/>
      <c r="L296" s="707"/>
      <c r="M296" s="152"/>
      <c r="O296" s="154"/>
      <c r="P296" s="154"/>
    </row>
    <row r="297" spans="1:16" s="3" customFormat="1" x14ac:dyDescent="0.25">
      <c r="A297" s="12"/>
      <c r="B297" s="705"/>
      <c r="C297" s="706"/>
      <c r="D297" s="706"/>
      <c r="E297" s="706"/>
      <c r="F297" s="706"/>
      <c r="G297" s="706"/>
      <c r="H297" s="706"/>
      <c r="I297" s="706"/>
      <c r="J297" s="706"/>
      <c r="K297" s="706"/>
      <c r="L297" s="707"/>
      <c r="M297" s="152"/>
      <c r="O297" s="154"/>
      <c r="P297" s="154"/>
    </row>
    <row r="298" spans="1:16" x14ac:dyDescent="0.25">
      <c r="B298" s="176"/>
      <c r="C298" s="177"/>
      <c r="D298" s="177"/>
      <c r="E298" s="177"/>
      <c r="F298" s="177"/>
      <c r="G298" s="177"/>
      <c r="H298" s="177"/>
      <c r="I298" s="177"/>
      <c r="J298" s="177"/>
      <c r="K298" s="177"/>
      <c r="L298" s="178"/>
      <c r="M298" s="2"/>
    </row>
    <row r="299" spans="1:16" x14ac:dyDescent="0.25">
      <c r="B299" s="163"/>
      <c r="C299" s="144"/>
      <c r="D299" s="34"/>
      <c r="E299" s="35"/>
      <c r="F299" s="35"/>
      <c r="G299" s="35"/>
      <c r="H299" s="35"/>
      <c r="I299" s="35"/>
      <c r="J299" s="35"/>
      <c r="K299" s="35"/>
      <c r="L299" s="40"/>
      <c r="M299" s="2"/>
      <c r="O299" s="11"/>
    </row>
    <row r="300" spans="1:16" x14ac:dyDescent="0.25">
      <c r="B300" s="618" t="str">
        <f>IF(Intro!$G$21="English",O300,P300)</f>
        <v>INVESTMENTS</v>
      </c>
      <c r="C300" s="619"/>
      <c r="D300" s="619"/>
      <c r="E300" s="619"/>
      <c r="F300" s="619"/>
      <c r="G300" s="619"/>
      <c r="H300" s="619"/>
      <c r="I300" s="619"/>
      <c r="J300" s="619"/>
      <c r="K300" s="619"/>
      <c r="L300" s="620"/>
      <c r="M300" s="2"/>
      <c r="O300" s="2" t="s">
        <v>78</v>
      </c>
      <c r="P300" s="2" t="s">
        <v>79</v>
      </c>
    </row>
    <row r="301" spans="1:16" s="3" customFormat="1" x14ac:dyDescent="0.25">
      <c r="A301" s="12"/>
      <c r="B301" s="711" t="s">
        <v>33</v>
      </c>
      <c r="C301" s="712"/>
      <c r="D301" s="712"/>
      <c r="E301" s="712"/>
      <c r="F301" s="712"/>
      <c r="G301" s="712"/>
      <c r="H301" s="712"/>
      <c r="I301" s="712"/>
      <c r="J301" s="712"/>
      <c r="K301" s="712"/>
      <c r="L301" s="713"/>
      <c r="M301" s="168"/>
    </row>
    <row r="302" spans="1:16" x14ac:dyDescent="0.25">
      <c r="B302" s="170"/>
      <c r="C302" s="171"/>
      <c r="D302" s="171"/>
      <c r="E302" s="171"/>
      <c r="F302" s="171"/>
      <c r="G302" s="171"/>
      <c r="H302" s="171"/>
      <c r="I302" s="171"/>
      <c r="J302" s="171"/>
      <c r="K302" s="171"/>
      <c r="L302" s="172"/>
      <c r="M302" s="2"/>
    </row>
    <row r="303" spans="1:16" x14ac:dyDescent="0.25">
      <c r="B303" s="708" t="str">
        <f>IF(Intro!$G$21="English",O303,P303)</f>
        <v>Report your firm’s past and projected investments in facilities for the goods for each period specified.</v>
      </c>
      <c r="C303" s="709"/>
      <c r="D303" s="709"/>
      <c r="E303" s="709"/>
      <c r="F303" s="709"/>
      <c r="G303" s="709"/>
      <c r="H303" s="709"/>
      <c r="I303" s="709"/>
      <c r="J303" s="709"/>
      <c r="K303" s="709"/>
      <c r="L303" s="710"/>
      <c r="M303" s="2"/>
      <c r="O303" s="2" t="s">
        <v>160</v>
      </c>
      <c r="P303" s="2" t="s">
        <v>161</v>
      </c>
    </row>
    <row r="304" spans="1:16" x14ac:dyDescent="0.25">
      <c r="B304" s="170"/>
      <c r="C304" s="171"/>
      <c r="D304" s="171"/>
      <c r="E304" s="171"/>
      <c r="F304" s="171"/>
      <c r="G304" s="171"/>
      <c r="H304" s="171"/>
      <c r="I304" s="171"/>
      <c r="J304" s="171"/>
      <c r="K304" s="171"/>
      <c r="L304" s="172"/>
      <c r="M304" s="2"/>
    </row>
    <row r="305" spans="1:16" x14ac:dyDescent="0.25">
      <c r="B305" s="159"/>
      <c r="C305" s="160"/>
      <c r="D305" s="25"/>
      <c r="E305" s="209">
        <f>Variables!$B$6</f>
        <v>2023</v>
      </c>
      <c r="F305" s="209">
        <f>E305+1</f>
        <v>2024</v>
      </c>
      <c r="G305" s="209">
        <f t="shared" ref="G305:J305" si="25">F305+1</f>
        <v>2025</v>
      </c>
      <c r="H305" s="209">
        <f t="shared" si="25"/>
        <v>2026</v>
      </c>
      <c r="I305" s="209">
        <f t="shared" si="25"/>
        <v>2027</v>
      </c>
      <c r="J305" s="209">
        <f t="shared" si="25"/>
        <v>2028</v>
      </c>
      <c r="K305" s="174"/>
      <c r="L305" s="175"/>
      <c r="M305" s="2"/>
      <c r="O305" s="11"/>
    </row>
    <row r="306" spans="1:16" x14ac:dyDescent="0.25">
      <c r="B306" s="925" t="str">
        <f>IF(Intro!$G$21="English",O306,P306)</f>
        <v>Investments</v>
      </c>
      <c r="C306" s="926"/>
      <c r="D306" s="214" t="s">
        <v>560</v>
      </c>
      <c r="E306" s="267"/>
      <c r="F306" s="267"/>
      <c r="G306" s="267"/>
      <c r="H306" s="267"/>
      <c r="I306" s="267"/>
      <c r="J306" s="267"/>
      <c r="K306" s="174"/>
      <c r="L306" s="175"/>
      <c r="M306" s="2"/>
      <c r="O306" s="2" t="s">
        <v>255</v>
      </c>
      <c r="P306" s="2" t="s">
        <v>256</v>
      </c>
    </row>
    <row r="307" spans="1:16" x14ac:dyDescent="0.25">
      <c r="B307" s="176"/>
      <c r="C307" s="177"/>
      <c r="D307" s="177"/>
      <c r="E307" s="177"/>
      <c r="F307" s="177"/>
      <c r="G307" s="177"/>
      <c r="H307" s="177"/>
      <c r="I307" s="177"/>
      <c r="J307" s="177"/>
      <c r="K307" s="177"/>
      <c r="L307" s="178"/>
      <c r="M307" s="2"/>
    </row>
    <row r="308" spans="1:16" s="3" customFormat="1" x14ac:dyDescent="0.25">
      <c r="A308" s="12"/>
      <c r="B308" s="711" t="s">
        <v>34</v>
      </c>
      <c r="C308" s="712"/>
      <c r="D308" s="712"/>
      <c r="E308" s="712"/>
      <c r="F308" s="712"/>
      <c r="G308" s="712"/>
      <c r="H308" s="712"/>
      <c r="I308" s="712"/>
      <c r="J308" s="712"/>
      <c r="K308" s="712"/>
      <c r="L308" s="713"/>
      <c r="M308" s="168"/>
    </row>
    <row r="309" spans="1:16" x14ac:dyDescent="0.25">
      <c r="B309" s="170"/>
      <c r="C309" s="171"/>
      <c r="D309" s="171"/>
      <c r="E309" s="171"/>
      <c r="F309" s="171"/>
      <c r="G309" s="171"/>
      <c r="H309" s="171"/>
      <c r="I309" s="171"/>
      <c r="J309" s="171"/>
      <c r="K309" s="171"/>
      <c r="L309" s="172"/>
      <c r="M309" s="2"/>
    </row>
    <row r="310" spans="1:16" x14ac:dyDescent="0.25">
      <c r="B310" s="634" t="str">
        <f>IF(Intro!$G$21="English",O310,P310)</f>
        <v>Provide a description of your firm’s major past and projected investments, in which facilities they took or will take place and the reasons for those investments.</v>
      </c>
      <c r="C310" s="635"/>
      <c r="D310" s="635"/>
      <c r="E310" s="635"/>
      <c r="F310" s="635"/>
      <c r="G310" s="635"/>
      <c r="H310" s="635"/>
      <c r="I310" s="635"/>
      <c r="J310" s="635"/>
      <c r="K310" s="635"/>
      <c r="L310" s="636"/>
      <c r="M310" s="2"/>
      <c r="O310" s="2" t="s">
        <v>162</v>
      </c>
      <c r="P310" s="2" t="s">
        <v>163</v>
      </c>
    </row>
    <row r="311" spans="1:16" x14ac:dyDescent="0.25">
      <c r="B311" s="170"/>
      <c r="C311" s="171"/>
      <c r="D311" s="171"/>
      <c r="E311" s="171"/>
      <c r="F311" s="171"/>
      <c r="G311" s="171"/>
      <c r="H311" s="171"/>
      <c r="I311" s="171"/>
      <c r="J311" s="171"/>
      <c r="K311" s="171"/>
      <c r="L311" s="172"/>
      <c r="M311" s="2"/>
    </row>
    <row r="312" spans="1:16" s="3" customFormat="1" x14ac:dyDescent="0.25">
      <c r="A312" s="12"/>
      <c r="B312" s="705"/>
      <c r="C312" s="706"/>
      <c r="D312" s="706"/>
      <c r="E312" s="706"/>
      <c r="F312" s="706"/>
      <c r="G312" s="706"/>
      <c r="H312" s="706"/>
      <c r="I312" s="706"/>
      <c r="J312" s="706"/>
      <c r="K312" s="706"/>
      <c r="L312" s="707"/>
      <c r="M312" s="152"/>
      <c r="O312" s="154"/>
      <c r="P312" s="154"/>
    </row>
    <row r="313" spans="1:16" s="3" customFormat="1" x14ac:dyDescent="0.25">
      <c r="A313" s="12"/>
      <c r="B313" s="705"/>
      <c r="C313" s="706"/>
      <c r="D313" s="706"/>
      <c r="E313" s="706"/>
      <c r="F313" s="706"/>
      <c r="G313" s="706"/>
      <c r="H313" s="706"/>
      <c r="I313" s="706"/>
      <c r="J313" s="706"/>
      <c r="K313" s="706"/>
      <c r="L313" s="707"/>
      <c r="M313" s="152"/>
      <c r="O313" s="154"/>
      <c r="P313" s="154"/>
    </row>
    <row r="314" spans="1:16" s="3" customFormat="1" x14ac:dyDescent="0.25">
      <c r="A314" s="12"/>
      <c r="B314" s="705"/>
      <c r="C314" s="706"/>
      <c r="D314" s="706"/>
      <c r="E314" s="706"/>
      <c r="F314" s="706"/>
      <c r="G314" s="706"/>
      <c r="H314" s="706"/>
      <c r="I314" s="706"/>
      <c r="J314" s="706"/>
      <c r="K314" s="706"/>
      <c r="L314" s="707"/>
      <c r="M314" s="152"/>
      <c r="O314" s="154"/>
      <c r="P314" s="154"/>
    </row>
    <row r="315" spans="1:16" s="3" customFormat="1" x14ac:dyDescent="0.25">
      <c r="A315" s="12"/>
      <c r="B315" s="705"/>
      <c r="C315" s="706"/>
      <c r="D315" s="706"/>
      <c r="E315" s="706"/>
      <c r="F315" s="706"/>
      <c r="G315" s="706"/>
      <c r="H315" s="706"/>
      <c r="I315" s="706"/>
      <c r="J315" s="706"/>
      <c r="K315" s="706"/>
      <c r="L315" s="707"/>
      <c r="M315" s="152"/>
      <c r="O315" s="154"/>
      <c r="P315" s="154"/>
    </row>
    <row r="316" spans="1:16" s="3" customFormat="1" x14ac:dyDescent="0.25">
      <c r="A316" s="12"/>
      <c r="B316" s="705"/>
      <c r="C316" s="706"/>
      <c r="D316" s="706"/>
      <c r="E316" s="706"/>
      <c r="F316" s="706"/>
      <c r="G316" s="706"/>
      <c r="H316" s="706"/>
      <c r="I316" s="706"/>
      <c r="J316" s="706"/>
      <c r="K316" s="706"/>
      <c r="L316" s="707"/>
      <c r="M316" s="152"/>
      <c r="O316" s="154"/>
      <c r="P316" s="154"/>
    </row>
    <row r="317" spans="1:16" s="3" customFormat="1" x14ac:dyDescent="0.25">
      <c r="A317" s="12"/>
      <c r="B317" s="705"/>
      <c r="C317" s="706"/>
      <c r="D317" s="706"/>
      <c r="E317" s="706"/>
      <c r="F317" s="706"/>
      <c r="G317" s="706"/>
      <c r="H317" s="706"/>
      <c r="I317" s="706"/>
      <c r="J317" s="706"/>
      <c r="K317" s="706"/>
      <c r="L317" s="707"/>
      <c r="M317" s="152"/>
      <c r="O317" s="154"/>
      <c r="P317" s="154"/>
    </row>
    <row r="318" spans="1:16" s="3" customFormat="1" x14ac:dyDescent="0.25">
      <c r="A318" s="12"/>
      <c r="B318" s="705"/>
      <c r="C318" s="706"/>
      <c r="D318" s="706"/>
      <c r="E318" s="706"/>
      <c r="F318" s="706"/>
      <c r="G318" s="706"/>
      <c r="H318" s="706"/>
      <c r="I318" s="706"/>
      <c r="J318" s="706"/>
      <c r="K318" s="706"/>
      <c r="L318" s="707"/>
      <c r="M318" s="152"/>
      <c r="O318" s="154"/>
      <c r="P318" s="154"/>
    </row>
    <row r="319" spans="1:16" s="3" customFormat="1" x14ac:dyDescent="0.25">
      <c r="A319" s="12"/>
      <c r="B319" s="705"/>
      <c r="C319" s="706"/>
      <c r="D319" s="706"/>
      <c r="E319" s="706"/>
      <c r="F319" s="706"/>
      <c r="G319" s="706"/>
      <c r="H319" s="706"/>
      <c r="I319" s="706"/>
      <c r="J319" s="706"/>
      <c r="K319" s="706"/>
      <c r="L319" s="707"/>
      <c r="M319" s="152"/>
      <c r="O319" s="154"/>
      <c r="P319" s="154"/>
    </row>
    <row r="320" spans="1:16" x14ac:dyDescent="0.25">
      <c r="B320" s="176"/>
      <c r="C320" s="177"/>
      <c r="D320" s="177"/>
      <c r="E320" s="177"/>
      <c r="F320" s="177"/>
      <c r="G320" s="177"/>
      <c r="H320" s="177"/>
      <c r="I320" s="177"/>
      <c r="J320" s="177"/>
      <c r="K320" s="177"/>
      <c r="L320" s="178"/>
      <c r="M320" s="2"/>
    </row>
    <row r="321" spans="1:16" s="3" customFormat="1" x14ac:dyDescent="0.25">
      <c r="A321" s="12"/>
      <c r="B321" s="711" t="s">
        <v>35</v>
      </c>
      <c r="C321" s="712"/>
      <c r="D321" s="712"/>
      <c r="E321" s="712"/>
      <c r="F321" s="712"/>
      <c r="G321" s="712"/>
      <c r="H321" s="712"/>
      <c r="I321" s="712"/>
      <c r="J321" s="712"/>
      <c r="K321" s="712"/>
      <c r="L321" s="713"/>
      <c r="M321" s="168"/>
    </row>
    <row r="322" spans="1:16" x14ac:dyDescent="0.25">
      <c r="B322" s="170"/>
      <c r="C322" s="171"/>
      <c r="D322" s="171"/>
      <c r="E322" s="171"/>
      <c r="F322" s="171"/>
      <c r="G322" s="171"/>
      <c r="H322" s="171"/>
      <c r="I322" s="171"/>
      <c r="J322" s="171"/>
      <c r="K322" s="171"/>
      <c r="L322" s="172"/>
      <c r="M322" s="2"/>
    </row>
    <row r="323" spans="1:16" x14ac:dyDescent="0.25">
      <c r="B323" s="708" t="str">
        <f>IF(Intro!$G$21="English",O323,P323)</f>
        <v>Describe the impact of investments made by your firm since January 1, 2023 on the following:</v>
      </c>
      <c r="C323" s="709"/>
      <c r="D323" s="709"/>
      <c r="E323" s="709"/>
      <c r="F323" s="709"/>
      <c r="G323" s="709"/>
      <c r="H323" s="709"/>
      <c r="I323" s="709"/>
      <c r="J323" s="709"/>
      <c r="K323" s="709"/>
      <c r="L323" s="710"/>
      <c r="M323" s="2"/>
      <c r="O323" s="2" t="str">
        <f>"Describe the impact of investments made by your firm since January 1, "&amp;Variables!B6&amp;" on the following:"</f>
        <v>Describe the impact of investments made by your firm since January 1, 2023 on the following:</v>
      </c>
      <c r="P323" s="2" t="str">
        <f>"Décrivez l’incidence des investissements faits par votre entreprise depuis le 1er janvier "&amp;Variables!B6&amp;" sur les aspects suivants :"</f>
        <v>Décrivez l’incidence des investissements faits par votre entreprise depuis le 1er janvier 2023 sur les aspects suivants :</v>
      </c>
    </row>
    <row r="324" spans="1:16" x14ac:dyDescent="0.25">
      <c r="B324" s="170"/>
      <c r="C324" s="171"/>
      <c r="D324" s="171"/>
      <c r="E324" s="171"/>
      <c r="F324" s="171"/>
      <c r="G324" s="171"/>
      <c r="H324" s="171"/>
      <c r="I324" s="171"/>
      <c r="J324" s="171"/>
      <c r="K324" s="171"/>
      <c r="L324" s="172"/>
      <c r="M324" s="2"/>
    </row>
    <row r="325" spans="1:16" x14ac:dyDescent="0.25">
      <c r="B325" s="590" t="str">
        <f>IF(Intro!$G$21="English",O325,P325)</f>
        <v>Productivity</v>
      </c>
      <c r="C325" s="591"/>
      <c r="D325" s="942"/>
      <c r="E325" s="942"/>
      <c r="F325" s="942"/>
      <c r="G325" s="942"/>
      <c r="H325" s="942"/>
      <c r="I325" s="942"/>
      <c r="J325" s="942"/>
      <c r="K325" s="942"/>
      <c r="L325" s="818"/>
      <c r="M325" s="2"/>
      <c r="O325" s="11" t="s">
        <v>80</v>
      </c>
      <c r="P325" s="11" t="s">
        <v>81</v>
      </c>
    </row>
    <row r="326" spans="1:16" s="3" customFormat="1" x14ac:dyDescent="0.25">
      <c r="A326" s="12"/>
      <c r="B326" s="590"/>
      <c r="C326" s="591"/>
      <c r="D326" s="942"/>
      <c r="E326" s="942"/>
      <c r="F326" s="942"/>
      <c r="G326" s="942"/>
      <c r="H326" s="942"/>
      <c r="I326" s="942"/>
      <c r="J326" s="942"/>
      <c r="K326" s="942"/>
      <c r="L326" s="818"/>
      <c r="M326" s="152"/>
      <c r="O326" s="154"/>
      <c r="P326" s="154"/>
    </row>
    <row r="327" spans="1:16" s="3" customFormat="1" x14ac:dyDescent="0.25">
      <c r="A327" s="12"/>
      <c r="B327" s="590"/>
      <c r="C327" s="591"/>
      <c r="D327" s="942"/>
      <c r="E327" s="942"/>
      <c r="F327" s="942"/>
      <c r="G327" s="942"/>
      <c r="H327" s="942"/>
      <c r="I327" s="942"/>
      <c r="J327" s="942"/>
      <c r="K327" s="942"/>
      <c r="L327" s="818"/>
      <c r="M327" s="152"/>
      <c r="O327" s="154"/>
      <c r="P327" s="154"/>
    </row>
    <row r="328" spans="1:16" s="3" customFormat="1" x14ac:dyDescent="0.25">
      <c r="A328" s="12"/>
      <c r="B328" s="590"/>
      <c r="C328" s="591"/>
      <c r="D328" s="942"/>
      <c r="E328" s="942"/>
      <c r="F328" s="942"/>
      <c r="G328" s="942"/>
      <c r="H328" s="942"/>
      <c r="I328" s="942"/>
      <c r="J328" s="942"/>
      <c r="K328" s="942"/>
      <c r="L328" s="818"/>
      <c r="M328" s="152"/>
      <c r="O328" s="154"/>
      <c r="P328" s="154"/>
    </row>
    <row r="329" spans="1:16" s="3" customFormat="1" x14ac:dyDescent="0.25">
      <c r="A329" s="12"/>
      <c r="B329" s="590"/>
      <c r="C329" s="591"/>
      <c r="D329" s="942"/>
      <c r="E329" s="942"/>
      <c r="F329" s="942"/>
      <c r="G329" s="942"/>
      <c r="H329" s="942"/>
      <c r="I329" s="942"/>
      <c r="J329" s="942"/>
      <c r="K329" s="942"/>
      <c r="L329" s="818"/>
      <c r="M329" s="152"/>
      <c r="O329" s="154"/>
      <c r="P329" s="154"/>
    </row>
    <row r="330" spans="1:16" x14ac:dyDescent="0.25">
      <c r="B330" s="590"/>
      <c r="C330" s="591"/>
      <c r="D330" s="942"/>
      <c r="E330" s="942"/>
      <c r="F330" s="942"/>
      <c r="G330" s="942"/>
      <c r="H330" s="942"/>
      <c r="I330" s="942"/>
      <c r="J330" s="942"/>
      <c r="K330" s="942"/>
      <c r="L330" s="818"/>
      <c r="M330" s="2"/>
    </row>
    <row r="331" spans="1:16" x14ac:dyDescent="0.25">
      <c r="B331" s="590"/>
      <c r="C331" s="591"/>
      <c r="D331" s="942"/>
      <c r="E331" s="942"/>
      <c r="F331" s="942"/>
      <c r="G331" s="942"/>
      <c r="H331" s="942"/>
      <c r="I331" s="942"/>
      <c r="J331" s="942"/>
      <c r="K331" s="942"/>
      <c r="L331" s="818"/>
      <c r="M331" s="2"/>
    </row>
    <row r="332" spans="1:16" x14ac:dyDescent="0.25">
      <c r="B332" s="590"/>
      <c r="C332" s="591"/>
      <c r="D332" s="942"/>
      <c r="E332" s="942"/>
      <c r="F332" s="942"/>
      <c r="G332" s="942"/>
      <c r="H332" s="942"/>
      <c r="I332" s="942"/>
      <c r="J332" s="942"/>
      <c r="K332" s="942"/>
      <c r="L332" s="818"/>
      <c r="M332" s="2"/>
      <c r="O332" s="11"/>
      <c r="P332" s="11"/>
    </row>
    <row r="333" spans="1:16" x14ac:dyDescent="0.25">
      <c r="B333" s="590"/>
      <c r="C333" s="591"/>
      <c r="D333" s="942"/>
      <c r="E333" s="942"/>
      <c r="F333" s="942"/>
      <c r="G333" s="942"/>
      <c r="H333" s="942"/>
      <c r="I333" s="942"/>
      <c r="J333" s="942"/>
      <c r="K333" s="942"/>
      <c r="L333" s="818"/>
      <c r="M333" s="2"/>
      <c r="O333" s="11"/>
      <c r="P333" s="11"/>
    </row>
    <row r="334" spans="1:16" x14ac:dyDescent="0.25">
      <c r="B334" s="590"/>
      <c r="C334" s="591"/>
      <c r="D334" s="942"/>
      <c r="E334" s="942"/>
      <c r="F334" s="942"/>
      <c r="G334" s="942"/>
      <c r="H334" s="942"/>
      <c r="I334" s="942"/>
      <c r="J334" s="942"/>
      <c r="K334" s="942"/>
      <c r="L334" s="818"/>
      <c r="M334" s="2"/>
      <c r="O334" s="11"/>
      <c r="P334" s="11"/>
    </row>
    <row r="335" spans="1:16" x14ac:dyDescent="0.25">
      <c r="B335" s="590" t="str">
        <f>IF(Intro!$G$21="English",O335,P335)</f>
        <v>Employment</v>
      </c>
      <c r="C335" s="591"/>
      <c r="D335" s="942"/>
      <c r="E335" s="942"/>
      <c r="F335" s="942"/>
      <c r="G335" s="942"/>
      <c r="H335" s="942"/>
      <c r="I335" s="942"/>
      <c r="J335" s="942"/>
      <c r="K335" s="942"/>
      <c r="L335" s="818"/>
      <c r="M335" s="2"/>
      <c r="O335" s="11" t="s">
        <v>82</v>
      </c>
      <c r="P335" s="11" t="s">
        <v>83</v>
      </c>
    </row>
    <row r="336" spans="1:16" x14ac:dyDescent="0.25">
      <c r="B336" s="590"/>
      <c r="C336" s="591"/>
      <c r="D336" s="942"/>
      <c r="E336" s="942"/>
      <c r="F336" s="942"/>
      <c r="G336" s="942"/>
      <c r="H336" s="942"/>
      <c r="I336" s="942"/>
      <c r="J336" s="942"/>
      <c r="K336" s="942"/>
      <c r="L336" s="818"/>
      <c r="M336" s="2"/>
      <c r="O336" s="11"/>
      <c r="P336" s="11"/>
    </row>
    <row r="337" spans="1:16" s="3" customFormat="1" x14ac:dyDescent="0.25">
      <c r="A337" s="12"/>
      <c r="B337" s="590"/>
      <c r="C337" s="591"/>
      <c r="D337" s="942"/>
      <c r="E337" s="942"/>
      <c r="F337" s="942"/>
      <c r="G337" s="942"/>
      <c r="H337" s="942"/>
      <c r="I337" s="942"/>
      <c r="J337" s="942"/>
      <c r="K337" s="942"/>
      <c r="L337" s="818"/>
      <c r="M337" s="152"/>
      <c r="O337" s="154"/>
      <c r="P337" s="154"/>
    </row>
    <row r="338" spans="1:16" s="3" customFormat="1" x14ac:dyDescent="0.25">
      <c r="A338" s="12"/>
      <c r="B338" s="590"/>
      <c r="C338" s="591"/>
      <c r="D338" s="942"/>
      <c r="E338" s="942"/>
      <c r="F338" s="942"/>
      <c r="G338" s="942"/>
      <c r="H338" s="942"/>
      <c r="I338" s="942"/>
      <c r="J338" s="942"/>
      <c r="K338" s="942"/>
      <c r="L338" s="818"/>
      <c r="M338" s="152"/>
      <c r="O338" s="154"/>
      <c r="P338" s="154"/>
    </row>
    <row r="339" spans="1:16" s="3" customFormat="1" x14ac:dyDescent="0.25">
      <c r="A339" s="12"/>
      <c r="B339" s="590"/>
      <c r="C339" s="591"/>
      <c r="D339" s="942"/>
      <c r="E339" s="942"/>
      <c r="F339" s="942"/>
      <c r="G339" s="942"/>
      <c r="H339" s="942"/>
      <c r="I339" s="942"/>
      <c r="J339" s="942"/>
      <c r="K339" s="942"/>
      <c r="L339" s="818"/>
      <c r="M339" s="152"/>
      <c r="O339" s="154"/>
      <c r="P339" s="154"/>
    </row>
    <row r="340" spans="1:16" s="3" customFormat="1" x14ac:dyDescent="0.25">
      <c r="A340" s="12"/>
      <c r="B340" s="590"/>
      <c r="C340" s="591"/>
      <c r="D340" s="942"/>
      <c r="E340" s="942"/>
      <c r="F340" s="942"/>
      <c r="G340" s="942"/>
      <c r="H340" s="942"/>
      <c r="I340" s="942"/>
      <c r="J340" s="942"/>
      <c r="K340" s="942"/>
      <c r="L340" s="818"/>
      <c r="M340" s="152"/>
      <c r="O340" s="154"/>
      <c r="P340" s="154"/>
    </row>
    <row r="341" spans="1:16" x14ac:dyDescent="0.25">
      <c r="B341" s="590"/>
      <c r="C341" s="591"/>
      <c r="D341" s="942"/>
      <c r="E341" s="942"/>
      <c r="F341" s="942"/>
      <c r="G341" s="942"/>
      <c r="H341" s="942"/>
      <c r="I341" s="942"/>
      <c r="J341" s="942"/>
      <c r="K341" s="942"/>
      <c r="L341" s="818"/>
      <c r="M341" s="2"/>
      <c r="O341" s="11"/>
      <c r="P341" s="11"/>
    </row>
    <row r="342" spans="1:16" x14ac:dyDescent="0.25">
      <c r="B342" s="590"/>
      <c r="C342" s="591"/>
      <c r="D342" s="942"/>
      <c r="E342" s="942"/>
      <c r="F342" s="942"/>
      <c r="G342" s="942"/>
      <c r="H342" s="942"/>
      <c r="I342" s="942"/>
      <c r="J342" s="942"/>
      <c r="K342" s="942"/>
      <c r="L342" s="818"/>
      <c r="M342" s="2"/>
      <c r="O342" s="11"/>
      <c r="P342" s="11"/>
    </row>
    <row r="343" spans="1:16" x14ac:dyDescent="0.25">
      <c r="B343" s="590"/>
      <c r="C343" s="591"/>
      <c r="D343" s="942"/>
      <c r="E343" s="942"/>
      <c r="F343" s="942"/>
      <c r="G343" s="942"/>
      <c r="H343" s="942"/>
      <c r="I343" s="942"/>
      <c r="J343" s="942"/>
      <c r="K343" s="942"/>
      <c r="L343" s="818"/>
      <c r="M343" s="2"/>
      <c r="O343" s="11"/>
      <c r="P343" s="11"/>
    </row>
    <row r="344" spans="1:16" x14ac:dyDescent="0.25">
      <c r="B344" s="590"/>
      <c r="C344" s="591"/>
      <c r="D344" s="942"/>
      <c r="E344" s="942"/>
      <c r="F344" s="942"/>
      <c r="G344" s="942"/>
      <c r="H344" s="942"/>
      <c r="I344" s="942"/>
      <c r="J344" s="942"/>
      <c r="K344" s="942"/>
      <c r="L344" s="818"/>
      <c r="M344" s="2"/>
      <c r="O344" s="11"/>
      <c r="P344" s="11"/>
    </row>
    <row r="345" spans="1:16" x14ac:dyDescent="0.25">
      <c r="B345" s="590" t="str">
        <f>IF(Intro!$G$21="English",O345,P345)</f>
        <v>Wages</v>
      </c>
      <c r="C345" s="591"/>
      <c r="D345" s="942"/>
      <c r="E345" s="942"/>
      <c r="F345" s="942"/>
      <c r="G345" s="942"/>
      <c r="H345" s="942"/>
      <c r="I345" s="942"/>
      <c r="J345" s="942"/>
      <c r="K345" s="942"/>
      <c r="L345" s="818"/>
      <c r="M345" s="2"/>
      <c r="O345" s="11" t="s">
        <v>84</v>
      </c>
      <c r="P345" s="11" t="s">
        <v>85</v>
      </c>
    </row>
    <row r="346" spans="1:16" x14ac:dyDescent="0.25">
      <c r="B346" s="590"/>
      <c r="C346" s="591"/>
      <c r="D346" s="942"/>
      <c r="E346" s="942"/>
      <c r="F346" s="942"/>
      <c r="G346" s="942"/>
      <c r="H346" s="942"/>
      <c r="I346" s="942"/>
      <c r="J346" s="942"/>
      <c r="K346" s="942"/>
      <c r="L346" s="818"/>
      <c r="M346" s="2"/>
      <c r="O346" s="11"/>
      <c r="P346" s="11"/>
    </row>
    <row r="347" spans="1:16" s="3" customFormat="1" x14ac:dyDescent="0.25">
      <c r="A347" s="12"/>
      <c r="B347" s="590"/>
      <c r="C347" s="591"/>
      <c r="D347" s="942"/>
      <c r="E347" s="942"/>
      <c r="F347" s="942"/>
      <c r="G347" s="942"/>
      <c r="H347" s="942"/>
      <c r="I347" s="942"/>
      <c r="J347" s="942"/>
      <c r="K347" s="942"/>
      <c r="L347" s="818"/>
      <c r="M347" s="152"/>
      <c r="O347" s="154"/>
      <c r="P347" s="154"/>
    </row>
    <row r="348" spans="1:16" s="3" customFormat="1" x14ac:dyDescent="0.25">
      <c r="A348" s="12"/>
      <c r="B348" s="590"/>
      <c r="C348" s="591"/>
      <c r="D348" s="942"/>
      <c r="E348" s="942"/>
      <c r="F348" s="942"/>
      <c r="G348" s="942"/>
      <c r="H348" s="942"/>
      <c r="I348" s="942"/>
      <c r="J348" s="942"/>
      <c r="K348" s="942"/>
      <c r="L348" s="818"/>
      <c r="M348" s="152"/>
      <c r="O348" s="154"/>
      <c r="P348" s="154"/>
    </row>
    <row r="349" spans="1:16" s="3" customFormat="1" x14ac:dyDescent="0.25">
      <c r="A349" s="12"/>
      <c r="B349" s="590"/>
      <c r="C349" s="591"/>
      <c r="D349" s="942"/>
      <c r="E349" s="942"/>
      <c r="F349" s="942"/>
      <c r="G349" s="942"/>
      <c r="H349" s="942"/>
      <c r="I349" s="942"/>
      <c r="J349" s="942"/>
      <c r="K349" s="942"/>
      <c r="L349" s="818"/>
      <c r="M349" s="152"/>
      <c r="O349" s="154"/>
      <c r="P349" s="154"/>
    </row>
    <row r="350" spans="1:16" s="3" customFormat="1" x14ac:dyDescent="0.25">
      <c r="A350" s="12"/>
      <c r="B350" s="590"/>
      <c r="C350" s="591"/>
      <c r="D350" s="942"/>
      <c r="E350" s="942"/>
      <c r="F350" s="942"/>
      <c r="G350" s="942"/>
      <c r="H350" s="942"/>
      <c r="I350" s="942"/>
      <c r="J350" s="942"/>
      <c r="K350" s="942"/>
      <c r="L350" s="818"/>
      <c r="M350" s="152"/>
      <c r="O350" s="154"/>
      <c r="P350" s="154"/>
    </row>
    <row r="351" spans="1:16" x14ac:dyDescent="0.25">
      <c r="B351" s="590"/>
      <c r="C351" s="591"/>
      <c r="D351" s="942"/>
      <c r="E351" s="942"/>
      <c r="F351" s="942"/>
      <c r="G351" s="942"/>
      <c r="H351" s="942"/>
      <c r="I351" s="942"/>
      <c r="J351" s="942"/>
      <c r="K351" s="942"/>
      <c r="L351" s="818"/>
      <c r="M351" s="2"/>
      <c r="O351" s="11"/>
      <c r="P351" s="11"/>
    </row>
    <row r="352" spans="1:16" x14ac:dyDescent="0.25">
      <c r="B352" s="590"/>
      <c r="C352" s="591"/>
      <c r="D352" s="942"/>
      <c r="E352" s="942"/>
      <c r="F352" s="942"/>
      <c r="G352" s="942"/>
      <c r="H352" s="942"/>
      <c r="I352" s="942"/>
      <c r="J352" s="942"/>
      <c r="K352" s="942"/>
      <c r="L352" s="818"/>
      <c r="M352" s="2"/>
      <c r="O352" s="11"/>
      <c r="P352" s="11"/>
    </row>
    <row r="353" spans="1:16" x14ac:dyDescent="0.25">
      <c r="B353" s="590"/>
      <c r="C353" s="591"/>
      <c r="D353" s="942"/>
      <c r="E353" s="942"/>
      <c r="F353" s="942"/>
      <c r="G353" s="942"/>
      <c r="H353" s="942"/>
      <c r="I353" s="942"/>
      <c r="J353" s="942"/>
      <c r="K353" s="942"/>
      <c r="L353" s="818"/>
      <c r="M353" s="2"/>
      <c r="O353" s="11"/>
      <c r="P353" s="11"/>
    </row>
    <row r="354" spans="1:16" x14ac:dyDescent="0.25">
      <c r="B354" s="946"/>
      <c r="C354" s="947"/>
      <c r="D354" s="948"/>
      <c r="E354" s="948"/>
      <c r="F354" s="948"/>
      <c r="G354" s="948"/>
      <c r="H354" s="948"/>
      <c r="I354" s="948"/>
      <c r="J354" s="948"/>
      <c r="K354" s="948"/>
      <c r="L354" s="949"/>
      <c r="M354" s="2"/>
      <c r="O354" s="11"/>
      <c r="P354" s="11"/>
    </row>
    <row r="355" spans="1:16" s="156" customFormat="1" x14ac:dyDescent="0.25">
      <c r="A355" s="180"/>
      <c r="B355" s="13"/>
      <c r="C355" s="13"/>
      <c r="D355" s="181"/>
      <c r="E355" s="181"/>
      <c r="F355" s="181"/>
      <c r="G355" s="181"/>
      <c r="H355" s="181"/>
      <c r="I355" s="181"/>
      <c r="J355" s="181"/>
      <c r="K355" s="181"/>
      <c r="L355" s="181"/>
      <c r="N355" s="182"/>
    </row>
    <row r="356" spans="1:16" x14ac:dyDescent="0.25">
      <c r="B356" s="618" t="str">
        <f>IF(Intro!$G$21="English",O356,P356)</f>
        <v>INCOME STATEMENT - FOR TOTAL FIRM</v>
      </c>
      <c r="C356" s="619"/>
      <c r="D356" s="619"/>
      <c r="E356" s="619"/>
      <c r="F356" s="619"/>
      <c r="G356" s="619"/>
      <c r="H356" s="619"/>
      <c r="I356" s="619"/>
      <c r="J356" s="619"/>
      <c r="K356" s="619"/>
      <c r="L356" s="620"/>
      <c r="M356" s="2"/>
      <c r="O356" s="2" t="s">
        <v>809</v>
      </c>
      <c r="P356" s="2" t="s">
        <v>810</v>
      </c>
    </row>
    <row r="357" spans="1:16" x14ac:dyDescent="0.25">
      <c r="B357" s="714" t="s">
        <v>36</v>
      </c>
      <c r="C357" s="715"/>
      <c r="D357" s="715"/>
      <c r="E357" s="715"/>
      <c r="F357" s="715"/>
      <c r="G357" s="715"/>
      <c r="H357" s="715"/>
      <c r="I357" s="715"/>
      <c r="J357" s="715"/>
      <c r="K357" s="715"/>
      <c r="L357" s="716"/>
      <c r="M357" s="2"/>
    </row>
    <row r="358" spans="1:16" x14ac:dyDescent="0.25">
      <c r="B358" s="24"/>
      <c r="C358" s="25"/>
      <c r="D358" s="25"/>
      <c r="E358" s="26"/>
      <c r="F358" s="26"/>
      <c r="G358" s="26"/>
      <c r="H358" s="26"/>
      <c r="I358" s="26"/>
      <c r="J358" s="26"/>
      <c r="K358" s="26"/>
      <c r="L358" s="27"/>
      <c r="M358" s="2"/>
    </row>
    <row r="359" spans="1:16" x14ac:dyDescent="0.25">
      <c r="B359" s="612" t="str">
        <f>IF(Intro!$G$21="English",O359,P359)</f>
        <v>Complete the income statement for your total firm. Report total results for all products sold by your firm, including but not limited to the goods. These amounts should correspond to those reported in your firm's audited financial statements.</v>
      </c>
      <c r="C359" s="613"/>
      <c r="D359" s="613"/>
      <c r="E359" s="613"/>
      <c r="F359" s="613"/>
      <c r="G359" s="613"/>
      <c r="H359" s="613"/>
      <c r="I359" s="613"/>
      <c r="J359" s="613"/>
      <c r="K359" s="613"/>
      <c r="L359" s="614"/>
      <c r="M359" s="2"/>
      <c r="O359" s="11" t="s">
        <v>205</v>
      </c>
      <c r="P359" s="2" t="s">
        <v>206</v>
      </c>
    </row>
    <row r="360" spans="1:16" x14ac:dyDescent="0.25">
      <c r="B360" s="612"/>
      <c r="C360" s="613"/>
      <c r="D360" s="613"/>
      <c r="E360" s="613"/>
      <c r="F360" s="613"/>
      <c r="G360" s="613"/>
      <c r="H360" s="613"/>
      <c r="I360" s="613"/>
      <c r="J360" s="613"/>
      <c r="K360" s="613"/>
      <c r="L360" s="614"/>
      <c r="M360" s="2"/>
      <c r="O360" s="11"/>
    </row>
    <row r="361" spans="1:16" x14ac:dyDescent="0.25">
      <c r="B361" s="159"/>
      <c r="C361" s="160"/>
      <c r="D361" s="25"/>
      <c r="E361" s="26"/>
      <c r="F361" s="26"/>
      <c r="G361" s="26"/>
      <c r="H361" s="26"/>
      <c r="I361" s="26"/>
      <c r="J361" s="26"/>
      <c r="K361" s="26"/>
      <c r="L361" s="27"/>
      <c r="M361" s="2"/>
      <c r="O361" s="11"/>
    </row>
    <row r="362" spans="1:16" x14ac:dyDescent="0.25">
      <c r="B362" s="159"/>
      <c r="C362" s="160"/>
      <c r="D362" s="25"/>
      <c r="E362" s="2"/>
      <c r="F362" s="2"/>
      <c r="G362" s="806">
        <f>Variables!$B$6</f>
        <v>2023</v>
      </c>
      <c r="H362" s="806">
        <f>G362+1</f>
        <v>2024</v>
      </c>
      <c r="I362" s="806">
        <f>H362+1</f>
        <v>2025</v>
      </c>
      <c r="J362" s="806" t="str">
        <f>IF(Intro!$G$21="English",Variables!B9,Variables!C9)</f>
        <v>Jan-Mar 2025</v>
      </c>
      <c r="K362" s="806" t="str">
        <f>IF(Intro!$G$21="English",Variables!B10,Variables!C10)</f>
        <v>Jan-Mar 2026</v>
      </c>
      <c r="L362" s="179"/>
      <c r="M362" s="2"/>
      <c r="O362" s="11"/>
    </row>
    <row r="363" spans="1:16" x14ac:dyDescent="0.25">
      <c r="B363" s="159"/>
      <c r="C363" s="160"/>
      <c r="D363" s="25"/>
      <c r="E363" s="2"/>
      <c r="F363" s="2"/>
      <c r="G363" s="806"/>
      <c r="H363" s="806"/>
      <c r="I363" s="806"/>
      <c r="J363" s="806"/>
      <c r="K363" s="806"/>
      <c r="L363" s="179"/>
      <c r="M363" s="2"/>
      <c r="O363" s="11"/>
    </row>
    <row r="364" spans="1:16" x14ac:dyDescent="0.25">
      <c r="B364" s="921" t="str">
        <f>IF(Intro!$G$21="English",O364,P364)</f>
        <v xml:space="preserve">Net Sales Value </v>
      </c>
      <c r="C364" s="922"/>
      <c r="D364" s="922"/>
      <c r="E364" s="923"/>
      <c r="F364" s="214" t="s">
        <v>560</v>
      </c>
      <c r="G364" s="267"/>
      <c r="H364" s="267"/>
      <c r="I364" s="267"/>
      <c r="J364" s="267"/>
      <c r="K364" s="267"/>
      <c r="L364" s="179"/>
      <c r="M364" s="2"/>
      <c r="O364" s="2" t="s">
        <v>46</v>
      </c>
      <c r="P364" s="2" t="s">
        <v>71</v>
      </c>
    </row>
    <row r="365" spans="1:16" x14ac:dyDescent="0.25">
      <c r="B365" s="921" t="str">
        <f>IF(Intro!$G$21="English",O365,P365)</f>
        <v xml:space="preserve">Cost of Goods Sold </v>
      </c>
      <c r="C365" s="922"/>
      <c r="D365" s="922"/>
      <c r="E365" s="923"/>
      <c r="F365" s="214" t="s">
        <v>560</v>
      </c>
      <c r="G365" s="267"/>
      <c r="H365" s="267"/>
      <c r="I365" s="267"/>
      <c r="J365" s="267"/>
      <c r="K365" s="267"/>
      <c r="L365" s="179"/>
      <c r="M365" s="2"/>
      <c r="O365" s="2" t="s">
        <v>47</v>
      </c>
      <c r="P365" s="2" t="s">
        <v>48</v>
      </c>
    </row>
    <row r="366" spans="1:16" s="3" customFormat="1" x14ac:dyDescent="0.25">
      <c r="A366" s="18"/>
      <c r="B366" s="918" t="str">
        <f>IF(Intro!$G$21="English",O366,P366)</f>
        <v>Gross Margin (Loss)</v>
      </c>
      <c r="C366" s="919"/>
      <c r="D366" s="919"/>
      <c r="E366" s="920"/>
      <c r="F366" s="214" t="s">
        <v>560</v>
      </c>
      <c r="G366" s="272">
        <f>G364-G365</f>
        <v>0</v>
      </c>
      <c r="H366" s="272">
        <f>H364-H365</f>
        <v>0</v>
      </c>
      <c r="I366" s="272">
        <f>I364-I365</f>
        <v>0</v>
      </c>
      <c r="J366" s="272">
        <f>J364-J365</f>
        <v>0</v>
      </c>
      <c r="K366" s="272">
        <f>K364-K365</f>
        <v>0</v>
      </c>
      <c r="L366" s="179"/>
      <c r="O366" s="3" t="s">
        <v>49</v>
      </c>
      <c r="P366" s="3" t="s">
        <v>50</v>
      </c>
    </row>
    <row r="367" spans="1:16" x14ac:dyDescent="0.25">
      <c r="B367" s="921" t="str">
        <f>IF(Intro!$G$21="English",O367,P367)</f>
        <v xml:space="preserve">General, Selling, and Administrative Expenses </v>
      </c>
      <c r="C367" s="922"/>
      <c r="D367" s="922"/>
      <c r="E367" s="923"/>
      <c r="F367" s="214" t="s">
        <v>560</v>
      </c>
      <c r="G367" s="267"/>
      <c r="H367" s="267"/>
      <c r="I367" s="267"/>
      <c r="J367" s="267"/>
      <c r="K367" s="267"/>
      <c r="L367" s="179"/>
      <c r="M367" s="2"/>
      <c r="O367" s="2" t="s">
        <v>51</v>
      </c>
      <c r="P367" s="2" t="s">
        <v>52</v>
      </c>
    </row>
    <row r="368" spans="1:16" x14ac:dyDescent="0.25">
      <c r="B368" s="921" t="str">
        <f>IF(Intro!$G$21="English",O368,P368)</f>
        <v xml:space="preserve">Financial Expenses </v>
      </c>
      <c r="C368" s="922"/>
      <c r="D368" s="922"/>
      <c r="E368" s="923"/>
      <c r="F368" s="214" t="s">
        <v>560</v>
      </c>
      <c r="G368" s="267"/>
      <c r="H368" s="267"/>
      <c r="I368" s="267"/>
      <c r="J368" s="267"/>
      <c r="K368" s="267"/>
      <c r="L368" s="179"/>
      <c r="M368" s="2"/>
      <c r="O368" s="2" t="s">
        <v>53</v>
      </c>
      <c r="P368" s="2" t="s">
        <v>54</v>
      </c>
    </row>
    <row r="369" spans="1:16" x14ac:dyDescent="0.25">
      <c r="B369" s="921" t="str">
        <f>IF(Intro!$G$21="English",O369,P369)</f>
        <v>Other Expenses</v>
      </c>
      <c r="C369" s="922"/>
      <c r="D369" s="922"/>
      <c r="E369" s="923"/>
      <c r="F369" s="214" t="s">
        <v>560</v>
      </c>
      <c r="G369" s="267"/>
      <c r="H369" s="267"/>
      <c r="I369" s="267"/>
      <c r="J369" s="267"/>
      <c r="K369" s="267"/>
      <c r="L369" s="179"/>
      <c r="M369" s="2"/>
      <c r="O369" s="2" t="s">
        <v>114</v>
      </c>
      <c r="P369" s="2" t="s">
        <v>115</v>
      </c>
    </row>
    <row r="370" spans="1:16" s="3" customFormat="1" x14ac:dyDescent="0.25">
      <c r="A370" s="18"/>
      <c r="B370" s="918" t="str">
        <f>IF(Intro!$G$21="English",O370,P370)</f>
        <v>Net Income (Loss) Before Taxes</v>
      </c>
      <c r="C370" s="919"/>
      <c r="D370" s="919"/>
      <c r="E370" s="920"/>
      <c r="F370" s="214" t="s">
        <v>560</v>
      </c>
      <c r="G370" s="272">
        <f>G366-G367-G368-G369</f>
        <v>0</v>
      </c>
      <c r="H370" s="272">
        <f>H366-H367-H368-H369</f>
        <v>0</v>
      </c>
      <c r="I370" s="272">
        <f>I366-I367-I368-I369</f>
        <v>0</v>
      </c>
      <c r="J370" s="272">
        <f>J366-J367-J368-J369</f>
        <v>0</v>
      </c>
      <c r="K370" s="272">
        <f>K366-K367-K368-K369</f>
        <v>0</v>
      </c>
      <c r="L370" s="179"/>
      <c r="O370" s="3" t="s">
        <v>55</v>
      </c>
      <c r="P370" s="3" t="s">
        <v>56</v>
      </c>
    </row>
    <row r="371" spans="1:16" s="3" customFormat="1" x14ac:dyDescent="0.25">
      <c r="A371" s="18"/>
      <c r="B371" s="232"/>
      <c r="C371" s="233"/>
      <c r="D371" s="233"/>
      <c r="E371" s="233"/>
      <c r="F371" s="234"/>
      <c r="G371" s="234"/>
      <c r="H371" s="234"/>
      <c r="I371" s="234"/>
      <c r="J371" s="234"/>
      <c r="K371" s="234"/>
      <c r="L371" s="179"/>
    </row>
    <row r="372" spans="1:16" s="3" customFormat="1" x14ac:dyDescent="0.25">
      <c r="A372" s="18"/>
      <c r="B372" s="235" t="str">
        <f>IF(Intro!$G$21="English",O372,P372)</f>
        <v>Describe "Other expenses".</v>
      </c>
      <c r="L372" s="162"/>
      <c r="O372" s="2" t="s">
        <v>707</v>
      </c>
      <c r="P372" s="2" t="s">
        <v>708</v>
      </c>
    </row>
    <row r="373" spans="1:16" s="3" customFormat="1" x14ac:dyDescent="0.25">
      <c r="A373" s="18"/>
      <c r="B373" s="236"/>
      <c r="C373" s="151"/>
      <c r="L373" s="162"/>
      <c r="O373" s="2"/>
      <c r="P373" s="2"/>
    </row>
    <row r="374" spans="1:16" s="3" customFormat="1" x14ac:dyDescent="0.25">
      <c r="A374" s="18"/>
      <c r="B374" s="943"/>
      <c r="C374" s="944"/>
      <c r="D374" s="944"/>
      <c r="E374" s="944"/>
      <c r="F374" s="944"/>
      <c r="G374" s="944"/>
      <c r="H374" s="944"/>
      <c r="I374" s="944"/>
      <c r="J374" s="944"/>
      <c r="K374" s="944"/>
      <c r="L374" s="945"/>
      <c r="O374" s="2"/>
      <c r="P374" s="2"/>
    </row>
    <row r="375" spans="1:16" s="3" customFormat="1" x14ac:dyDescent="0.25">
      <c r="A375" s="18"/>
      <c r="B375" s="943"/>
      <c r="C375" s="944"/>
      <c r="D375" s="944"/>
      <c r="E375" s="944"/>
      <c r="F375" s="944"/>
      <c r="G375" s="944"/>
      <c r="H375" s="944"/>
      <c r="I375" s="944"/>
      <c r="J375" s="944"/>
      <c r="K375" s="944"/>
      <c r="L375" s="945"/>
      <c r="O375" s="2"/>
      <c r="P375" s="2"/>
    </row>
    <row r="376" spans="1:16" s="3" customFormat="1" x14ac:dyDescent="0.25">
      <c r="A376" s="18"/>
      <c r="B376" s="943"/>
      <c r="C376" s="944"/>
      <c r="D376" s="944"/>
      <c r="E376" s="944"/>
      <c r="F376" s="944"/>
      <c r="G376" s="944"/>
      <c r="H376" s="944"/>
      <c r="I376" s="944"/>
      <c r="J376" s="944"/>
      <c r="K376" s="944"/>
      <c r="L376" s="945"/>
      <c r="O376" s="2"/>
      <c r="P376" s="2"/>
    </row>
    <row r="377" spans="1:16" s="3" customFormat="1" x14ac:dyDescent="0.25">
      <c r="A377" s="18"/>
      <c r="B377" s="943"/>
      <c r="C377" s="944"/>
      <c r="D377" s="944"/>
      <c r="E377" s="944"/>
      <c r="F377" s="944"/>
      <c r="G377" s="944"/>
      <c r="H377" s="944"/>
      <c r="I377" s="944"/>
      <c r="J377" s="944"/>
      <c r="K377" s="944"/>
      <c r="L377" s="945"/>
      <c r="O377" s="2"/>
      <c r="P377" s="2"/>
    </row>
    <row r="378" spans="1:16" s="3" customFormat="1" x14ac:dyDescent="0.25">
      <c r="A378" s="18"/>
      <c r="B378" s="943"/>
      <c r="C378" s="944"/>
      <c r="D378" s="944"/>
      <c r="E378" s="944"/>
      <c r="F378" s="944"/>
      <c r="G378" s="944"/>
      <c r="H378" s="944"/>
      <c r="I378" s="944"/>
      <c r="J378" s="944"/>
      <c r="K378" s="944"/>
      <c r="L378" s="945"/>
      <c r="O378" s="2"/>
      <c r="P378" s="2"/>
    </row>
    <row r="379" spans="1:16" s="3" customFormat="1" x14ac:dyDescent="0.25">
      <c r="A379" s="18"/>
      <c r="B379" s="943"/>
      <c r="C379" s="944"/>
      <c r="D379" s="944"/>
      <c r="E379" s="944"/>
      <c r="F379" s="944"/>
      <c r="G379" s="944"/>
      <c r="H379" s="944"/>
      <c r="I379" s="944"/>
      <c r="J379" s="944"/>
      <c r="K379" s="944"/>
      <c r="L379" s="945"/>
      <c r="O379" s="2"/>
      <c r="P379" s="2"/>
    </row>
    <row r="380" spans="1:16" s="3" customFormat="1" x14ac:dyDescent="0.25">
      <c r="A380" s="18"/>
      <c r="B380" s="943"/>
      <c r="C380" s="944"/>
      <c r="D380" s="944"/>
      <c r="E380" s="944"/>
      <c r="F380" s="944"/>
      <c r="G380" s="944"/>
      <c r="H380" s="944"/>
      <c r="I380" s="944"/>
      <c r="J380" s="944"/>
      <c r="K380" s="944"/>
      <c r="L380" s="945"/>
      <c r="O380" s="2"/>
      <c r="P380" s="2"/>
    </row>
    <row r="381" spans="1:16" s="3" customFormat="1" x14ac:dyDescent="0.25">
      <c r="A381" s="18"/>
      <c r="B381" s="943"/>
      <c r="C381" s="944"/>
      <c r="D381" s="944"/>
      <c r="E381" s="944"/>
      <c r="F381" s="944"/>
      <c r="G381" s="944"/>
      <c r="H381" s="944"/>
      <c r="I381" s="944"/>
      <c r="J381" s="944"/>
      <c r="K381" s="944"/>
      <c r="L381" s="945"/>
      <c r="O381" s="2"/>
      <c r="P381" s="2"/>
    </row>
    <row r="382" spans="1:16" s="3" customFormat="1" x14ac:dyDescent="0.25">
      <c r="A382" s="18"/>
      <c r="B382" s="237"/>
      <c r="C382" s="238"/>
      <c r="D382" s="238"/>
      <c r="E382" s="238"/>
      <c r="F382" s="234"/>
      <c r="G382" s="239"/>
      <c r="H382" s="239"/>
      <c r="I382" s="239"/>
      <c r="J382" s="239"/>
      <c r="K382" s="239"/>
      <c r="L382" s="179"/>
      <c r="O382" s="2"/>
      <c r="P382" s="2"/>
    </row>
    <row r="383" spans="1:16" s="3" customFormat="1" x14ac:dyDescent="0.25">
      <c r="A383" s="18"/>
      <c r="B383" s="612" t="str">
        <f>B35</f>
        <v>Explain any large changes between periods and any irregularities such as negative amounts in the amounts reported above.</v>
      </c>
      <c r="C383" s="613"/>
      <c r="D383" s="613"/>
      <c r="E383" s="613"/>
      <c r="F383" s="613"/>
      <c r="G383" s="613"/>
      <c r="H383" s="613"/>
      <c r="I383" s="613"/>
      <c r="J383" s="613"/>
      <c r="K383" s="613"/>
      <c r="L383" s="614"/>
      <c r="O383" s="2"/>
      <c r="P383" s="2"/>
    </row>
    <row r="384" spans="1:16" s="3" customFormat="1" x14ac:dyDescent="0.25">
      <c r="A384" s="18"/>
      <c r="B384" s="164"/>
      <c r="C384" s="151"/>
      <c r="D384" s="151"/>
      <c r="E384" s="151"/>
      <c r="L384" s="179"/>
      <c r="O384" s="2"/>
      <c r="P384" s="2"/>
    </row>
    <row r="385" spans="1:16" s="3" customFormat="1" x14ac:dyDescent="0.25">
      <c r="A385" s="18"/>
      <c r="B385" s="927"/>
      <c r="C385" s="928"/>
      <c r="D385" s="928"/>
      <c r="E385" s="928"/>
      <c r="F385" s="928"/>
      <c r="G385" s="928"/>
      <c r="H385" s="928"/>
      <c r="I385" s="928"/>
      <c r="J385" s="928"/>
      <c r="K385" s="928"/>
      <c r="L385" s="929"/>
      <c r="O385" s="2"/>
      <c r="P385" s="2"/>
    </row>
    <row r="386" spans="1:16" s="3" customFormat="1" x14ac:dyDescent="0.25">
      <c r="A386" s="18"/>
      <c r="B386" s="927"/>
      <c r="C386" s="928"/>
      <c r="D386" s="928"/>
      <c r="E386" s="928"/>
      <c r="F386" s="928"/>
      <c r="G386" s="928"/>
      <c r="H386" s="928"/>
      <c r="I386" s="928"/>
      <c r="J386" s="928"/>
      <c r="K386" s="928"/>
      <c r="L386" s="929"/>
      <c r="O386" s="2"/>
      <c r="P386" s="2"/>
    </row>
    <row r="387" spans="1:16" s="3" customFormat="1" x14ac:dyDescent="0.25">
      <c r="A387" s="18"/>
      <c r="B387" s="927"/>
      <c r="C387" s="928"/>
      <c r="D387" s="928"/>
      <c r="E387" s="928"/>
      <c r="F387" s="928"/>
      <c r="G387" s="928"/>
      <c r="H387" s="928"/>
      <c r="I387" s="928"/>
      <c r="J387" s="928"/>
      <c r="K387" s="928"/>
      <c r="L387" s="929"/>
      <c r="O387" s="2"/>
      <c r="P387" s="2"/>
    </row>
    <row r="388" spans="1:16" s="3" customFormat="1" x14ac:dyDescent="0.25">
      <c r="A388" s="18"/>
      <c r="B388" s="927"/>
      <c r="C388" s="928"/>
      <c r="D388" s="928"/>
      <c r="E388" s="928"/>
      <c r="F388" s="928"/>
      <c r="G388" s="928"/>
      <c r="H388" s="928"/>
      <c r="I388" s="928"/>
      <c r="J388" s="928"/>
      <c r="K388" s="928"/>
      <c r="L388" s="929"/>
      <c r="O388" s="2"/>
      <c r="P388" s="2"/>
    </row>
    <row r="389" spans="1:16" s="3" customFormat="1" x14ac:dyDescent="0.25">
      <c r="A389" s="18"/>
      <c r="B389" s="927"/>
      <c r="C389" s="928"/>
      <c r="D389" s="928"/>
      <c r="E389" s="928"/>
      <c r="F389" s="928"/>
      <c r="G389" s="928"/>
      <c r="H389" s="928"/>
      <c r="I389" s="928"/>
      <c r="J389" s="928"/>
      <c r="K389" s="928"/>
      <c r="L389" s="929"/>
      <c r="O389" s="2"/>
      <c r="P389" s="2"/>
    </row>
    <row r="390" spans="1:16" s="3" customFormat="1" x14ac:dyDescent="0.25">
      <c r="A390" s="18"/>
      <c r="B390" s="927"/>
      <c r="C390" s="928"/>
      <c r="D390" s="928"/>
      <c r="E390" s="928"/>
      <c r="F390" s="928"/>
      <c r="G390" s="928"/>
      <c r="H390" s="928"/>
      <c r="I390" s="928"/>
      <c r="J390" s="928"/>
      <c r="K390" s="928"/>
      <c r="L390" s="929"/>
      <c r="O390" s="2"/>
      <c r="P390" s="2"/>
    </row>
    <row r="391" spans="1:16" s="3" customFormat="1" x14ac:dyDescent="0.25">
      <c r="A391" s="18"/>
      <c r="B391" s="927"/>
      <c r="C391" s="928"/>
      <c r="D391" s="928"/>
      <c r="E391" s="928"/>
      <c r="F391" s="928"/>
      <c r="G391" s="928"/>
      <c r="H391" s="928"/>
      <c r="I391" s="928"/>
      <c r="J391" s="928"/>
      <c r="K391" s="928"/>
      <c r="L391" s="929"/>
      <c r="O391" s="2"/>
      <c r="P391" s="2"/>
    </row>
    <row r="392" spans="1:16" s="3" customFormat="1" x14ac:dyDescent="0.25">
      <c r="A392" s="18"/>
      <c r="B392" s="927"/>
      <c r="C392" s="928"/>
      <c r="D392" s="928"/>
      <c r="E392" s="928"/>
      <c r="F392" s="928"/>
      <c r="G392" s="928"/>
      <c r="H392" s="928"/>
      <c r="I392" s="928"/>
      <c r="J392" s="928"/>
      <c r="K392" s="928"/>
      <c r="L392" s="929"/>
      <c r="O392" s="2"/>
      <c r="P392" s="2"/>
    </row>
    <row r="393" spans="1:16" x14ac:dyDescent="0.25">
      <c r="B393" s="176"/>
      <c r="C393" s="177"/>
      <c r="D393" s="177"/>
      <c r="E393" s="177"/>
      <c r="F393" s="177"/>
      <c r="G393" s="177"/>
      <c r="H393" s="177"/>
      <c r="I393" s="177"/>
      <c r="J393" s="177"/>
      <c r="K393" s="177"/>
      <c r="L393" s="178"/>
      <c r="M393" s="2"/>
    </row>
    <row r="394" spans="1:16" s="3" customFormat="1" x14ac:dyDescent="0.25">
      <c r="A394" s="12"/>
      <c r="B394" s="711" t="s">
        <v>37</v>
      </c>
      <c r="C394" s="712"/>
      <c r="D394" s="712"/>
      <c r="E394" s="712"/>
      <c r="F394" s="712"/>
      <c r="G394" s="712"/>
      <c r="H394" s="712"/>
      <c r="I394" s="712"/>
      <c r="J394" s="712"/>
      <c r="K394" s="712"/>
      <c r="L394" s="713"/>
      <c r="M394" s="168"/>
      <c r="O394" s="2"/>
    </row>
    <row r="395" spans="1:16" x14ac:dyDescent="0.25">
      <c r="B395" s="170"/>
      <c r="C395" s="171"/>
      <c r="D395" s="171"/>
      <c r="E395" s="171"/>
      <c r="F395" s="171"/>
      <c r="G395" s="171"/>
      <c r="H395" s="171"/>
      <c r="I395" s="171"/>
      <c r="J395" s="171"/>
      <c r="K395" s="171"/>
      <c r="L395" s="172"/>
      <c r="M395" s="2"/>
    </row>
    <row r="396" spans="1:16" x14ac:dyDescent="0.25">
      <c r="B396" s="634" t="str">
        <f>IF(Intro!$G$21="English",O396,P396)</f>
        <v>Submit audited financial statements for your total firm for each fiscal year since January 1, 2023. If unavailable, provide the equivalent unaudited statements.</v>
      </c>
      <c r="C396" s="635"/>
      <c r="D396" s="635"/>
      <c r="E396" s="635"/>
      <c r="F396" s="635"/>
      <c r="G396" s="635"/>
      <c r="H396" s="635"/>
      <c r="I396" s="635"/>
      <c r="J396" s="635"/>
      <c r="K396" s="635"/>
      <c r="L396" s="636"/>
      <c r="M396" s="2"/>
      <c r="O396" s="2" t="str">
        <f>"Submit audited financial statements for your total firm for each fiscal year since January 1, "&amp;Variables!B6&amp;". If unavailable, provide the equivalent unaudited statements."</f>
        <v>Submit audited financial statements for your total firm for each fiscal year since January 1, 2023. If unavailable, provide the equivalent unaudited statements.</v>
      </c>
      <c r="P396" s="2" t="str">
        <f>"Présentez les états financiers vérifiés pour l'ensemble de l'entreprise pour chaque exercice depuis le 1er janvier "&amp;Variables!B6&amp;". Si votre entreprise ne prépare pas habituellement d’états vérifiés, soumettez des états non vérifiés équivalents."</f>
        <v>Présentez les états financiers vérifiés pour l'ensemble de l'entreprise pour chaque exercice depuis le 1er janvier 2023. Si votre entreprise ne prépare pas habituellement d’états vérifiés, soumettez des états non vérifiés équivalents.</v>
      </c>
    </row>
    <row r="397" spans="1:16" x14ac:dyDescent="0.25">
      <c r="B397" s="634"/>
      <c r="C397" s="635"/>
      <c r="D397" s="635"/>
      <c r="E397" s="635"/>
      <c r="F397" s="635"/>
      <c r="G397" s="635"/>
      <c r="H397" s="635"/>
      <c r="I397" s="635"/>
      <c r="J397" s="635"/>
      <c r="K397" s="635"/>
      <c r="L397" s="636"/>
      <c r="M397" s="2"/>
    </row>
    <row r="398" spans="1:16" x14ac:dyDescent="0.25">
      <c r="B398" s="176"/>
      <c r="C398" s="177"/>
      <c r="D398" s="177"/>
      <c r="E398" s="177"/>
      <c r="F398" s="177"/>
      <c r="G398" s="177"/>
      <c r="H398" s="177"/>
      <c r="I398" s="177"/>
      <c r="J398" s="177"/>
      <c r="K398" s="177"/>
      <c r="L398" s="178"/>
      <c r="M398" s="2"/>
    </row>
    <row r="399" spans="1:16" s="3" customFormat="1" x14ac:dyDescent="0.25">
      <c r="A399" s="12"/>
      <c r="B399" s="183"/>
      <c r="C399" s="183"/>
      <c r="D399" s="183"/>
      <c r="E399" s="184"/>
      <c r="F399" s="184"/>
      <c r="G399" s="184"/>
      <c r="H399" s="184"/>
      <c r="I399" s="184"/>
      <c r="J399" s="184"/>
      <c r="K399" s="184"/>
      <c r="L399" s="184"/>
      <c r="M399" s="168"/>
    </row>
    <row r="400" spans="1:16" s="156" customFormat="1" x14ac:dyDescent="0.25">
      <c r="A400" s="180"/>
      <c r="B400" s="13"/>
      <c r="C400" s="13"/>
      <c r="D400" s="181"/>
      <c r="E400" s="181"/>
      <c r="F400" s="181"/>
      <c r="G400" s="181"/>
      <c r="H400" s="181"/>
      <c r="I400" s="181"/>
      <c r="J400" s="181"/>
      <c r="K400" s="181"/>
      <c r="L400" s="181"/>
      <c r="N400" s="182"/>
    </row>
    <row r="401" spans="1:14" s="156" customFormat="1" x14ac:dyDescent="0.25">
      <c r="A401" s="180"/>
      <c r="B401" s="13"/>
      <c r="C401" s="13"/>
      <c r="D401" s="181"/>
      <c r="E401" s="181"/>
      <c r="F401" s="181"/>
      <c r="G401" s="181"/>
      <c r="H401" s="181"/>
      <c r="I401" s="181"/>
      <c r="J401" s="181"/>
      <c r="K401" s="181"/>
      <c r="L401" s="181"/>
      <c r="N401" s="182"/>
    </row>
  </sheetData>
  <sheetProtection algorithmName="SHA-512" hashValue="UyRj76dLDoUDyYJ4jVQusYFQeQK2kzvUsbOzfc3v6LStbTP9mKZkAsvPq0WzFE+NMmZfka3buwGt50n+hN3Lbg==" saltValue="Kmdo7dtMQgdKRJs2Qhsdhg==" spinCount="100000" sheet="1" objects="1" scenarios="1" selectLockedCells="1"/>
  <mergeCells count="244">
    <mergeCell ref="G96:G97"/>
    <mergeCell ref="B102:F103"/>
    <mergeCell ref="B92:E92"/>
    <mergeCell ref="B93:E93"/>
    <mergeCell ref="B94:E94"/>
    <mergeCell ref="B98:E98"/>
    <mergeCell ref="B99:E99"/>
    <mergeCell ref="B100:E100"/>
    <mergeCell ref="B46:F47"/>
    <mergeCell ref="B49:E49"/>
    <mergeCell ref="B50:E50"/>
    <mergeCell ref="B51:E51"/>
    <mergeCell ref="B62:L69"/>
    <mergeCell ref="B53:E53"/>
    <mergeCell ref="B55:E55"/>
    <mergeCell ref="B56:E56"/>
    <mergeCell ref="H90:H91"/>
    <mergeCell ref="B57:E57"/>
    <mergeCell ref="H46:H47"/>
    <mergeCell ref="I46:I47"/>
    <mergeCell ref="J46:J47"/>
    <mergeCell ref="B52:E52"/>
    <mergeCell ref="B58:E58"/>
    <mergeCell ref="B35:L35"/>
    <mergeCell ref="G46:G47"/>
    <mergeCell ref="B90:F91"/>
    <mergeCell ref="G90:G91"/>
    <mergeCell ref="B24:E24"/>
    <mergeCell ref="B25:E25"/>
    <mergeCell ref="B26:E26"/>
    <mergeCell ref="B27:E27"/>
    <mergeCell ref="B28:E28"/>
    <mergeCell ref="B30:E30"/>
    <mergeCell ref="B31:E31"/>
    <mergeCell ref="B32:E32"/>
    <mergeCell ref="B33:E33"/>
    <mergeCell ref="B396:L397"/>
    <mergeCell ref="B385:L392"/>
    <mergeCell ref="B4:L4"/>
    <mergeCell ref="B5:L5"/>
    <mergeCell ref="B6:L6"/>
    <mergeCell ref="B8:L8"/>
    <mergeCell ref="B9:L9"/>
    <mergeCell ref="B10:L10"/>
    <mergeCell ref="B12:L12"/>
    <mergeCell ref="B359:L360"/>
    <mergeCell ref="G362:G363"/>
    <mergeCell ref="H362:H363"/>
    <mergeCell ref="I362:I363"/>
    <mergeCell ref="J362:J363"/>
    <mergeCell ref="K362:K363"/>
    <mergeCell ref="B356:L356"/>
    <mergeCell ref="B13:L13"/>
    <mergeCell ref="B14:L14"/>
    <mergeCell ref="K46:K47"/>
    <mergeCell ref="B60:L60"/>
    <mergeCell ref="B215:E215"/>
    <mergeCell ref="B216:E216"/>
    <mergeCell ref="B187:E187"/>
    <mergeCell ref="B188:E188"/>
    <mergeCell ref="B368:E368"/>
    <mergeCell ref="B16:L16"/>
    <mergeCell ref="B369:E369"/>
    <mergeCell ref="B370:E370"/>
    <mergeCell ref="B19:L19"/>
    <mergeCell ref="B189:E189"/>
    <mergeCell ref="B190:E190"/>
    <mergeCell ref="B191:E191"/>
    <mergeCell ref="B192:E192"/>
    <mergeCell ref="B193:E193"/>
    <mergeCell ref="B194:E194"/>
    <mergeCell ref="B195:E195"/>
    <mergeCell ref="B209:F210"/>
    <mergeCell ref="H209:H210"/>
    <mergeCell ref="I209:I210"/>
    <mergeCell ref="J209:J210"/>
    <mergeCell ref="B211:E211"/>
    <mergeCell ref="C147:C156"/>
    <mergeCell ref="D167:D176"/>
    <mergeCell ref="D147:D156"/>
    <mergeCell ref="E127:F136"/>
    <mergeCell ref="B122:L123"/>
    <mergeCell ref="G167:L176"/>
    <mergeCell ref="E125:F126"/>
    <mergeCell ref="B364:E364"/>
    <mergeCell ref="B365:E365"/>
    <mergeCell ref="B366:E366"/>
    <mergeCell ref="B367:E367"/>
    <mergeCell ref="E137:F146"/>
    <mergeCell ref="E147:F156"/>
    <mergeCell ref="E157:F166"/>
    <mergeCell ref="E167:F176"/>
    <mergeCell ref="C167:C176"/>
    <mergeCell ref="B157:B166"/>
    <mergeCell ref="C157:C166"/>
    <mergeCell ref="D157:D166"/>
    <mergeCell ref="B137:B146"/>
    <mergeCell ref="C137:C146"/>
    <mergeCell ref="B257:L257"/>
    <mergeCell ref="B286:L286"/>
    <mergeCell ref="B301:L301"/>
    <mergeCell ref="I235:I237"/>
    <mergeCell ref="J235:J237"/>
    <mergeCell ref="K235:K237"/>
    <mergeCell ref="D137:D146"/>
    <mergeCell ref="B147:B156"/>
    <mergeCell ref="B357:L357"/>
    <mergeCell ref="B244:F246"/>
    <mergeCell ref="K21:K22"/>
    <mergeCell ref="H21:H22"/>
    <mergeCell ref="I21:I22"/>
    <mergeCell ref="J21:J22"/>
    <mergeCell ref="B21:F22"/>
    <mergeCell ref="G21:G22"/>
    <mergeCell ref="B224:L231"/>
    <mergeCell ref="B233:F234"/>
    <mergeCell ref="G233:G234"/>
    <mergeCell ref="H102:H103"/>
    <mergeCell ref="I102:I103"/>
    <mergeCell ref="J102:J103"/>
    <mergeCell ref="K102:K103"/>
    <mergeCell ref="H111:H112"/>
    <mergeCell ref="C125:C126"/>
    <mergeCell ref="D125:D126"/>
    <mergeCell ref="B182:L183"/>
    <mergeCell ref="B37:L44"/>
    <mergeCell ref="H185:H186"/>
    <mergeCell ref="I185:I186"/>
    <mergeCell ref="J185:J186"/>
    <mergeCell ref="B179:L179"/>
    <mergeCell ref="I111:I112"/>
    <mergeCell ref="H96:H97"/>
    <mergeCell ref="B345:C354"/>
    <mergeCell ref="D345:L354"/>
    <mergeCell ref="B303:L303"/>
    <mergeCell ref="B323:L323"/>
    <mergeCell ref="B306:C306"/>
    <mergeCell ref="B300:L300"/>
    <mergeCell ref="B288:L288"/>
    <mergeCell ref="B290:L297"/>
    <mergeCell ref="B312:L319"/>
    <mergeCell ref="B310:L310"/>
    <mergeCell ref="B325:C334"/>
    <mergeCell ref="D325:L334"/>
    <mergeCell ref="B335:C344"/>
    <mergeCell ref="D335:L344"/>
    <mergeCell ref="B308:L308"/>
    <mergeCell ref="B321:L321"/>
    <mergeCell ref="B394:L394"/>
    <mergeCell ref="B17:L17"/>
    <mergeCell ref="B71:L71"/>
    <mergeCell ref="B84:L84"/>
    <mergeCell ref="B120:L120"/>
    <mergeCell ref="B180:L180"/>
    <mergeCell ref="K209:K210"/>
    <mergeCell ref="B220:E220"/>
    <mergeCell ref="G157:L166"/>
    <mergeCell ref="D261:L268"/>
    <mergeCell ref="B261:C268"/>
    <mergeCell ref="B269:C276"/>
    <mergeCell ref="D269:L276"/>
    <mergeCell ref="D277:L284"/>
    <mergeCell ref="B259:L259"/>
    <mergeCell ref="B277:C284"/>
    <mergeCell ref="B248:L255"/>
    <mergeCell ref="B196:E196"/>
    <mergeCell ref="B374:L381"/>
    <mergeCell ref="B383:L383"/>
    <mergeCell ref="B23:E23"/>
    <mergeCell ref="B48:E48"/>
    <mergeCell ref="B29:E29"/>
    <mergeCell ref="B54:E54"/>
    <mergeCell ref="G244:G246"/>
    <mergeCell ref="H244:H246"/>
    <mergeCell ref="I90:I91"/>
    <mergeCell ref="J90:J91"/>
    <mergeCell ref="B214:E214"/>
    <mergeCell ref="B217:E217"/>
    <mergeCell ref="B222:L222"/>
    <mergeCell ref="B185:F186"/>
    <mergeCell ref="G185:G186"/>
    <mergeCell ref="K244:K246"/>
    <mergeCell ref="B238:F240"/>
    <mergeCell ref="G238:G240"/>
    <mergeCell ref="H238:H240"/>
    <mergeCell ref="I238:I240"/>
    <mergeCell ref="J238:J240"/>
    <mergeCell ref="K238:K240"/>
    <mergeCell ref="B241:F243"/>
    <mergeCell ref="G241:G243"/>
    <mergeCell ref="H241:H243"/>
    <mergeCell ref="I244:I246"/>
    <mergeCell ref="J244:J246"/>
    <mergeCell ref="H233:H234"/>
    <mergeCell ref="I233:I234"/>
    <mergeCell ref="J233:J234"/>
    <mergeCell ref="B218:E218"/>
    <mergeCell ref="G209:G210"/>
    <mergeCell ref="B212:E212"/>
    <mergeCell ref="B213:E213"/>
    <mergeCell ref="I96:I97"/>
    <mergeCell ref="D127:D136"/>
    <mergeCell ref="C127:C136"/>
    <mergeCell ref="B127:B136"/>
    <mergeCell ref="B198:L198"/>
    <mergeCell ref="B200:L207"/>
    <mergeCell ref="G125:L126"/>
    <mergeCell ref="G127:L136"/>
    <mergeCell ref="G137:L146"/>
    <mergeCell ref="G147:L156"/>
    <mergeCell ref="G102:G103"/>
    <mergeCell ref="B125:B126"/>
    <mergeCell ref="B106:E106"/>
    <mergeCell ref="J96:J97"/>
    <mergeCell ref="K96:K97"/>
    <mergeCell ref="G111:G112"/>
    <mergeCell ref="B104:E104"/>
    <mergeCell ref="B105:E105"/>
    <mergeCell ref="B109:L110"/>
    <mergeCell ref="B96:F97"/>
    <mergeCell ref="B235:F237"/>
    <mergeCell ref="G235:G237"/>
    <mergeCell ref="H235:H237"/>
    <mergeCell ref="K90:K91"/>
    <mergeCell ref="I241:I243"/>
    <mergeCell ref="J241:J243"/>
    <mergeCell ref="K241:K243"/>
    <mergeCell ref="B75:L82"/>
    <mergeCell ref="B73:L73"/>
    <mergeCell ref="B86:L87"/>
    <mergeCell ref="K185:K186"/>
    <mergeCell ref="K233:K234"/>
    <mergeCell ref="B107:E107"/>
    <mergeCell ref="B113:E113"/>
    <mergeCell ref="B114:E114"/>
    <mergeCell ref="B115:E115"/>
    <mergeCell ref="B116:E116"/>
    <mergeCell ref="B117:E117"/>
    <mergeCell ref="B118:E118"/>
    <mergeCell ref="B88:L88"/>
    <mergeCell ref="J111:J112"/>
    <mergeCell ref="K111:K112"/>
    <mergeCell ref="B167:B176"/>
    <mergeCell ref="B219:E219"/>
  </mergeCells>
  <phoneticPr fontId="18" type="noConversion"/>
  <conditionalFormatting sqref="G235:K235">
    <cfRule type="cellIs" dxfId="1" priority="2" operator="equal">
      <formula>"Error"</formula>
    </cfRule>
  </conditionalFormatting>
  <conditionalFormatting sqref="G238:K238 G241:K241 G244:K245">
    <cfRule type="cellIs" dxfId="0" priority="1" operator="equal">
      <formula>"Error"</formula>
    </cfRule>
  </conditionalFormatting>
  <dataValidations count="6">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C167:E167 C137:E137 C147:E147 G167 G137 G147 G157 C157:E157 D261:D263 D269 D277 D279:D280 D335 D345 D271:D272 D325" xr:uid="{F8D8A7E1-1179-4260-93AA-9A622DB12CD0}">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366:K366 G33:K33 G94:K94 G100:K100 G107:K107 G189:K189 G113:K118 G213:K213 G382:K382 G220:K220 G215:K216 G196:K196 G191:K192 G104:K104 G370:K370 G58:K58" xr:uid="{F77DE07A-E5BD-4DD9-9825-4423487DEE8D}">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312 B75 B248 B290" xr:uid="{5FC4152B-5ADE-4FEC-B03A-FB21EF47E33C}">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92:K93 G105:K106 G98:K99" xr:uid="{C1F52860-EE92-48F0-AFC1-749E3BB6E371}">
      <formula1>0</formula1>
    </dataValidation>
    <dataValidation type="decimal" operator="greaterThanOrEqual" allowBlank="1" showErrorMessage="1" errorTitle="Errror / Erreur" error="Please input only numerical values into these cells./SVP donnez uniquement des valeurs numériques dans ces cellules." prompt="1000 character limit/limite de 1000 caractères" sqref="G29:K29 G54:K54" xr:uid="{456694CA-CD16-4ABF-8EE0-4E70833EA80B}">
      <formula1>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4:K28 G30:K32 G49:K53 G55:K57 G23 H23 I23:K23 G48:K48 G187:K188 G190:K190 G193:K195 G211:K212 G214:K214 G217:K219 E306:J306 G364:K365 G367:K369" xr:uid="{F16B506E-2218-4CCE-AA2F-495E362CE45B}">
      <formula1>-1000000000</formula1>
    </dataValidation>
  </dataValidations>
  <printOptions horizontalCentered="1"/>
  <pageMargins left="0.25" right="0.25" top="0.75" bottom="0.75" header="0.3" footer="0.3"/>
  <pageSetup scale="63" fitToHeight="0" orientation="portrait" r:id="rId1"/>
  <headerFooter>
    <oddFooter>&amp;L&amp;A</oddFooter>
  </headerFooter>
  <rowBreaks count="6" manualBreakCount="6">
    <brk id="70" min="1" max="11" man="1"/>
    <brk id="119" min="1" max="11" man="1"/>
    <brk id="178" min="1" max="11" man="1"/>
    <brk id="232" min="1" max="11" man="1"/>
    <brk id="299" min="1" max="11" man="1"/>
    <brk id="355" min="1"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22</vt:i4>
      </vt:variant>
    </vt:vector>
  </HeadingPairs>
  <TitlesOfParts>
    <vt:vector size="45" baseType="lpstr">
      <vt:lpstr>Variables</vt:lpstr>
      <vt:lpstr>Intro</vt:lpstr>
      <vt:lpstr>Info</vt:lpstr>
      <vt:lpstr>Public</vt:lpstr>
      <vt:lpstr>Grades-Nuances</vt:lpstr>
      <vt:lpstr>AddPub</vt:lpstr>
      <vt:lpstr>Pro 1</vt:lpstr>
      <vt:lpstr>Pro 2</vt:lpstr>
      <vt:lpstr>Pro 3</vt:lpstr>
      <vt:lpstr>Pro 4</vt:lpstr>
      <vt:lpstr>AddPro</vt:lpstr>
      <vt:lpstr>Confirm</vt:lpstr>
      <vt:lpstr>GradeQualDB</vt:lpstr>
      <vt:lpstr>DBFirm</vt:lpstr>
      <vt:lpstr>DBSls</vt:lpstr>
      <vt:lpstr>DBPerformance</vt:lpstr>
      <vt:lpstr>DBOtherPerf</vt:lpstr>
      <vt:lpstr>DBAvgCost</vt:lpstr>
      <vt:lpstr>DBNegative</vt:lpstr>
      <vt:lpstr>DBBenchmark</vt:lpstr>
      <vt:lpstr>DBRegional</vt:lpstr>
      <vt:lpstr>DBTopAcct</vt:lpstr>
      <vt:lpstr>DataTab</vt:lpstr>
      <vt:lpstr>AddPro!Print_Area</vt:lpstr>
      <vt:lpstr>AddPub!Print_Area</vt:lpstr>
      <vt:lpstr>Confirm!Print_Area</vt:lpstr>
      <vt:lpstr>'Grades-Nuances'!Print_Area</vt:lpstr>
      <vt:lpstr>Info!Print_Area</vt:lpstr>
      <vt:lpstr>Intro!Print_Area</vt:lpstr>
      <vt:lpstr>'Pro 1'!Print_Area</vt:lpstr>
      <vt:lpstr>'Pro 2'!Print_Area</vt:lpstr>
      <vt:lpstr>'Pro 3'!Print_Area</vt:lpstr>
      <vt:lpstr>'Pro 4'!Print_Area</vt:lpstr>
      <vt:lpstr>Public!Print_Area</vt:lpstr>
      <vt:lpstr>AddPro!Print_Titles</vt:lpstr>
      <vt:lpstr>AddPub!Print_Titles</vt:lpstr>
      <vt:lpstr>Confirm!Print_Titles</vt:lpstr>
      <vt:lpstr>'Grades-Nuances'!Print_Titles</vt:lpstr>
      <vt:lpstr>Info!Print_Titles</vt:lpstr>
      <vt:lpstr>Intro!Print_Titles</vt:lpstr>
      <vt:lpstr>'Pro 1'!Print_Titles</vt:lpstr>
      <vt:lpstr>'Pro 2'!Print_Titles</vt:lpstr>
      <vt:lpstr>'Pro 3'!Print_Titles</vt:lpstr>
      <vt:lpstr>'Pro 4'!Print_Titles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Dao, Thy</cp:lastModifiedBy>
  <cp:lastPrinted>2026-06-09T18:21:37Z</cp:lastPrinted>
  <dcterms:created xsi:type="dcterms:W3CDTF">2023-04-17T11:18:56Z</dcterms:created>
  <dcterms:modified xsi:type="dcterms:W3CDTF">2026-08-24T13:12:09Z</dcterms:modified>
</cp:coreProperties>
</file>