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NQ-2026-003\Working Files\Research\Questionnaires\"/>
    </mc:Choice>
  </mc:AlternateContent>
  <xr:revisionPtr revIDLastSave="0" documentId="13_ncr:1_{2B42B1B7-B9FD-4C7E-B147-9557CEE4BA8E}" xr6:coauthVersionLast="47" xr6:coauthVersionMax="47" xr10:uidLastSave="{00000000-0000-0000-0000-000000000000}"/>
  <workbookProtection workbookAlgorithmName="SHA-512" workbookHashValue="m0NB6YrvmC7U6Cq9qhBWxJELW8ZVyIqfJqsyFEOtMPTIdQ7NA3i8UxgOVihGIbu203WbDoqAka13qPw5OM3HRw==" workbookSaltValue="TBMEOGP6KdYnqVeCQlwV0g==" workbookSpinCount="100000" lockStructure="1"/>
  <bookViews>
    <workbookView xWindow="-110" yWindow="-110" windowWidth="25820" windowHeight="13900" tabRatio="731" firstSheet="1" activeTab="1" xr2:uid="{3D654CF3-06ED-4DA0-B41D-5BE2C0DB6148}"/>
  </bookViews>
  <sheets>
    <sheet name="Variables" sheetId="38" state="hidden" r:id="rId1"/>
    <sheet name="Intro" sheetId="48" r:id="rId2"/>
    <sheet name="Info" sheetId="49" r:id="rId3"/>
    <sheet name="Public" sheetId="47" r:id="rId4"/>
    <sheet name="AddPub" sheetId="45" r:id="rId5"/>
    <sheet name="Pro 1" sheetId="37" r:id="rId6"/>
    <sheet name="Pro 2" sheetId="39" r:id="rId7"/>
    <sheet name="Pro 3" sheetId="42" r:id="rId8"/>
    <sheet name="Pro 4" sheetId="43" r:id="rId9"/>
    <sheet name="AddPro" sheetId="44" r:id="rId10"/>
    <sheet name="Confirm" sheetId="46" r:id="rId11"/>
    <sheet name="DB" sheetId="53" state="hidden" r:id="rId12"/>
    <sheet name="DBPerformance" sheetId="54" state="hidden" r:id="rId13"/>
    <sheet name="DBOtherPerf" sheetId="55" state="hidden" r:id="rId14"/>
    <sheet name="DBAvgCost" sheetId="56" state="hidden" r:id="rId15"/>
    <sheet name="DBNegative" sheetId="57" state="hidden" r:id="rId16"/>
    <sheet name="DBBenchmark" sheetId="58" state="hidden" r:id="rId17"/>
    <sheet name="DBRegional" sheetId="59" state="hidden" r:id="rId18"/>
    <sheet name="DBTopAcct" sheetId="60" state="hidden" r:id="rId19"/>
    <sheet name="DataTab" sheetId="51" state="hidden" r:id="rId20"/>
  </sheets>
  <definedNames>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 localSheetId="19">#REF!</definedName>
    <definedName name="POR">#REF!</definedName>
    <definedName name="ppc">#REF!</definedName>
    <definedName name="_xlnm.Print_Area" localSheetId="9">AddPro!$B$1:$L$57</definedName>
    <definedName name="_xlnm.Print_Area" localSheetId="4">AddPub!$B$1:$L$57</definedName>
    <definedName name="_xlnm.Print_Area" localSheetId="10">Confirm!$B$1:$L$84</definedName>
    <definedName name="_xlnm.Print_Area" localSheetId="2">Info!$B$1:$L$56</definedName>
    <definedName name="_xlnm.Print_Area" localSheetId="1">Intro!$B$1:$L$152</definedName>
    <definedName name="_xlnm.Print_Area" localSheetId="5">'Pro 1'!$B$1:$L$113</definedName>
    <definedName name="_xlnm.Print_Area" localSheetId="6">'Pro 2'!$B$1:$L$314</definedName>
    <definedName name="_xlnm.Print_Area" localSheetId="7">'Pro 3'!$B$1:$L$406</definedName>
    <definedName name="_xlnm.Print_Area" localSheetId="8">'Pro 4'!$B$1:$L$242</definedName>
    <definedName name="_xlnm.Print_Area" localSheetId="3">Public!$B$1:$L$453</definedName>
    <definedName name="_xlnm.Print_Titles" localSheetId="9">AddPro!$1:$7</definedName>
    <definedName name="_xlnm.Print_Titles" localSheetId="4">AddPub!$1:$7</definedName>
    <definedName name="_xlnm.Print_Titles" localSheetId="10">Confirm!$1:$7</definedName>
    <definedName name="_xlnm.Print_Titles" localSheetId="2">Info!$1:$7</definedName>
    <definedName name="_xlnm.Print_Titles" localSheetId="1">Intro!$1:$7</definedName>
    <definedName name="_xlnm.Print_Titles" localSheetId="5">'Pro 1'!$1:$7</definedName>
    <definedName name="_xlnm.Print_Titles" localSheetId="6">'Pro 2'!$1:$7</definedName>
    <definedName name="_xlnm.Print_Titles" localSheetId="7">'Pro 3'!$1:$7</definedName>
    <definedName name="_xlnm.Print_Titles" localSheetId="8">'Pro 4'!$1:$7</definedName>
    <definedName name="_xlnm.Print_Titles" localSheetId="3">Public!$1:$7</definedName>
    <definedName name="quest8" localSheetId="9">AddPro!#REF!</definedName>
    <definedName name="quest8" localSheetId="4">AddPub!#REF!</definedName>
    <definedName name="quest8" localSheetId="10">Confirm!#REF!</definedName>
    <definedName name="quest8" localSheetId="19">#REF!</definedName>
    <definedName name="quest8" localSheetId="2">Info!#REF!</definedName>
    <definedName name="quest8" localSheetId="1">Intro!#REF!</definedName>
    <definedName name="quest8" localSheetId="5">'Pro 1'!#REF!</definedName>
    <definedName name="quest8" localSheetId="6">'Pro 2'!#REF!</definedName>
    <definedName name="quest8" localSheetId="7">'Pro 3'!#REF!</definedName>
    <definedName name="quest8" localSheetId="8">'Pro 4'!#REF!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3" i="47" l="1"/>
  <c r="P194" i="43"/>
  <c r="O194" i="43"/>
  <c r="P192" i="43"/>
  <c r="O192" i="43"/>
  <c r="P190" i="43"/>
  <c r="O190" i="43"/>
  <c r="P188" i="43"/>
  <c r="O188" i="43"/>
  <c r="H10" i="48" l="1"/>
  <c r="B151" i="48" l="1"/>
  <c r="E151" i="48"/>
  <c r="J151" i="48"/>
  <c r="G94" i="42"/>
  <c r="H94" i="42"/>
  <c r="I94" i="42"/>
  <c r="J94" i="42"/>
  <c r="K94" i="42"/>
  <c r="C82" i="46"/>
  <c r="C78" i="46"/>
  <c r="C75" i="46"/>
  <c r="C71" i="46"/>
  <c r="C67" i="46"/>
  <c r="C62" i="46"/>
  <c r="C58" i="46"/>
  <c r="C55" i="46"/>
  <c r="K36" i="39"/>
  <c r="J36" i="39"/>
  <c r="I36" i="39"/>
  <c r="H36" i="39"/>
  <c r="P90" i="47"/>
  <c r="O90" i="47"/>
  <c r="P69" i="48"/>
  <c r="O69" i="48"/>
  <c r="C29" i="48"/>
  <c r="K51" i="46"/>
  <c r="K82" i="46"/>
  <c r="K78" i="46"/>
  <c r="K75" i="46"/>
  <c r="K71" i="46"/>
  <c r="K67" i="46"/>
  <c r="K62" i="46"/>
  <c r="K58" i="46"/>
  <c r="K55" i="46"/>
  <c r="I82" i="46"/>
  <c r="I78" i="46"/>
  <c r="I75" i="46"/>
  <c r="I71" i="46"/>
  <c r="I67" i="46"/>
  <c r="I62" i="46"/>
  <c r="I58" i="46"/>
  <c r="I55" i="46"/>
  <c r="G82" i="46"/>
  <c r="G78" i="46"/>
  <c r="G75" i="46"/>
  <c r="G71" i="46"/>
  <c r="G67" i="46"/>
  <c r="G62" i="46"/>
  <c r="G58" i="46"/>
  <c r="G55" i="46"/>
  <c r="E55" i="46"/>
  <c r="E82" i="46"/>
  <c r="E78" i="46"/>
  <c r="E75" i="46"/>
  <c r="E71" i="46"/>
  <c r="E67" i="46"/>
  <c r="E62" i="46"/>
  <c r="E58" i="46"/>
  <c r="I51" i="46"/>
  <c r="G51" i="46"/>
  <c r="E51" i="46"/>
  <c r="C51" i="46" l="1"/>
  <c r="K47" i="46"/>
  <c r="I47" i="46"/>
  <c r="G47" i="46"/>
  <c r="E47" i="46"/>
  <c r="C47" i="46"/>
  <c r="H48" i="42"/>
  <c r="I48" i="42"/>
  <c r="J48" i="42"/>
  <c r="K48" i="42"/>
  <c r="G48" i="42"/>
  <c r="AF9" i="60"/>
  <c r="AN9" i="60" s="1"/>
  <c r="AE9" i="60"/>
  <c r="AD9" i="60"/>
  <c r="AL9" i="60" s="1"/>
  <c r="AC9" i="60"/>
  <c r="AB9" i="60"/>
  <c r="AA9" i="60"/>
  <c r="Z9" i="60"/>
  <c r="AH9" i="60" s="1"/>
  <c r="AF8" i="60"/>
  <c r="AN8" i="60" s="1"/>
  <c r="AE8" i="60"/>
  <c r="AD8" i="60"/>
  <c r="AC8" i="60"/>
  <c r="AB8" i="60"/>
  <c r="AA8" i="60"/>
  <c r="AI8" i="60" s="1"/>
  <c r="Z8" i="60"/>
  <c r="AF7" i="60"/>
  <c r="AE7" i="60"/>
  <c r="AD7" i="60"/>
  <c r="AC7" i="60"/>
  <c r="AB7" i="60"/>
  <c r="AJ7" i="60" s="1"/>
  <c r="AA7" i="60"/>
  <c r="AI7" i="60" s="1"/>
  <c r="Z7" i="60"/>
  <c r="AF6" i="60"/>
  <c r="AE6" i="60"/>
  <c r="AD6" i="60"/>
  <c r="AC6" i="60"/>
  <c r="AB6" i="60"/>
  <c r="AA6" i="60"/>
  <c r="Z6" i="60"/>
  <c r="AF5" i="60"/>
  <c r="AN5" i="60" s="1"/>
  <c r="AE5" i="60"/>
  <c r="AM5" i="60" s="1"/>
  <c r="AD5" i="60"/>
  <c r="AL5" i="60" s="1"/>
  <c r="AC5" i="60"/>
  <c r="AK5" i="60" s="1"/>
  <c r="AB5" i="60"/>
  <c r="AA5" i="60"/>
  <c r="Z5" i="60"/>
  <c r="X9" i="60"/>
  <c r="W9" i="60"/>
  <c r="V9" i="60"/>
  <c r="U9" i="60"/>
  <c r="AK9" i="60" s="1"/>
  <c r="T9" i="60"/>
  <c r="S9" i="60"/>
  <c r="R9" i="60"/>
  <c r="X8" i="60"/>
  <c r="W8" i="60"/>
  <c r="V8" i="60"/>
  <c r="U8" i="60"/>
  <c r="T8" i="60"/>
  <c r="S8" i="60"/>
  <c r="R8" i="60"/>
  <c r="X7" i="60"/>
  <c r="W7" i="60"/>
  <c r="V7" i="60"/>
  <c r="U7" i="60"/>
  <c r="T7" i="60"/>
  <c r="S7" i="60"/>
  <c r="R7" i="60"/>
  <c r="X6" i="60"/>
  <c r="W6" i="60"/>
  <c r="V6" i="60"/>
  <c r="U6" i="60"/>
  <c r="T6" i="60"/>
  <c r="S6" i="60"/>
  <c r="R6" i="60"/>
  <c r="X5" i="60"/>
  <c r="W5" i="60"/>
  <c r="V5" i="60"/>
  <c r="U5" i="60"/>
  <c r="T5" i="60"/>
  <c r="S5" i="60"/>
  <c r="R5" i="60"/>
  <c r="Y9" i="60"/>
  <c r="AG9" i="60" s="1"/>
  <c r="Y8" i="60"/>
  <c r="Y7" i="60"/>
  <c r="AG7" i="60" s="1"/>
  <c r="Y6" i="60"/>
  <c r="Y5" i="60"/>
  <c r="AG5" i="60" s="1"/>
  <c r="Q9" i="60"/>
  <c r="Q8" i="60"/>
  <c r="Q7" i="60"/>
  <c r="Q6" i="60"/>
  <c r="Q5" i="60"/>
  <c r="N9" i="60"/>
  <c r="N8" i="60"/>
  <c r="N7" i="60"/>
  <c r="N6" i="60"/>
  <c r="N5" i="60"/>
  <c r="A5" i="60"/>
  <c r="AM9" i="60"/>
  <c r="AN7" i="60"/>
  <c r="P7" i="60"/>
  <c r="P8" i="60" s="1"/>
  <c r="P9" i="60" s="1"/>
  <c r="C7" i="60"/>
  <c r="C8" i="60" s="1"/>
  <c r="C9" i="60" s="1"/>
  <c r="AK6" i="60"/>
  <c r="AJ6" i="60"/>
  <c r="AI6" i="60"/>
  <c r="AH6" i="60"/>
  <c r="AG6" i="60"/>
  <c r="P6" i="60"/>
  <c r="G6" i="60"/>
  <c r="G7" i="60" s="1"/>
  <c r="C6" i="60"/>
  <c r="A6" i="60"/>
  <c r="A7" i="60" s="1"/>
  <c r="A8" i="60" s="1"/>
  <c r="A9" i="60" s="1"/>
  <c r="AJ5" i="60"/>
  <c r="AI5" i="60"/>
  <c r="B5" i="60"/>
  <c r="B6" i="60" s="1"/>
  <c r="B7" i="60" s="1"/>
  <c r="B8" i="60" s="1"/>
  <c r="B9" i="60" s="1"/>
  <c r="AH8" i="60" l="1"/>
  <c r="AM8" i="60"/>
  <c r="AG8" i="60"/>
  <c r="AH7" i="60"/>
  <c r="AM7" i="60"/>
  <c r="AJ8" i="60"/>
  <c r="AH5" i="60"/>
  <c r="AM6" i="60"/>
  <c r="AK8" i="60"/>
  <c r="AL6" i="60"/>
  <c r="AN6" i="60"/>
  <c r="AL8" i="60"/>
  <c r="AL7" i="60"/>
  <c r="AJ9" i="60"/>
  <c r="AK7" i="60"/>
  <c r="AI9" i="60"/>
  <c r="G8" i="60"/>
  <c r="G9" i="60" l="1"/>
  <c r="J9" i="59" l="1"/>
  <c r="I9" i="59"/>
  <c r="H9" i="59"/>
  <c r="G9" i="59"/>
  <c r="J8" i="59"/>
  <c r="I8" i="59"/>
  <c r="H8" i="59"/>
  <c r="G8" i="59"/>
  <c r="J7" i="59"/>
  <c r="I7" i="59"/>
  <c r="H7" i="59"/>
  <c r="G7" i="59"/>
  <c r="J6" i="59"/>
  <c r="I6" i="59"/>
  <c r="H6" i="59"/>
  <c r="G6" i="59"/>
  <c r="J5" i="59"/>
  <c r="I5" i="59"/>
  <c r="H5" i="59"/>
  <c r="G5" i="59"/>
  <c r="O9" i="59"/>
  <c r="N9" i="59"/>
  <c r="M9" i="59"/>
  <c r="L9" i="59"/>
  <c r="O8" i="59"/>
  <c r="N8" i="59"/>
  <c r="M8" i="59"/>
  <c r="L8" i="59"/>
  <c r="O7" i="59"/>
  <c r="N7" i="59"/>
  <c r="M7" i="59"/>
  <c r="L7" i="59"/>
  <c r="O6" i="59"/>
  <c r="N6" i="59"/>
  <c r="M6" i="59"/>
  <c r="L6" i="59"/>
  <c r="O5" i="59"/>
  <c r="N5" i="59"/>
  <c r="M5" i="59"/>
  <c r="L5" i="59"/>
  <c r="K9" i="59"/>
  <c r="K8" i="59"/>
  <c r="K7" i="59"/>
  <c r="K6" i="59"/>
  <c r="K5" i="59"/>
  <c r="AF9" i="58"/>
  <c r="AE9" i="58"/>
  <c r="AD9" i="58"/>
  <c r="AC9" i="58"/>
  <c r="AK9" i="58" s="1"/>
  <c r="AB9" i="58"/>
  <c r="AA9" i="58"/>
  <c r="Z9" i="58"/>
  <c r="AF8" i="58"/>
  <c r="AE8" i="58"/>
  <c r="AD8" i="58"/>
  <c r="AC8" i="58"/>
  <c r="AB8" i="58"/>
  <c r="AA8" i="58"/>
  <c r="AI8" i="58" s="1"/>
  <c r="Z8" i="58"/>
  <c r="AH8" i="58" s="1"/>
  <c r="AF7" i="58"/>
  <c r="AN7" i="58" s="1"/>
  <c r="AE7" i="58"/>
  <c r="AM7" i="58" s="1"/>
  <c r="AD7" i="58"/>
  <c r="AC7" i="58"/>
  <c r="AB7" i="58"/>
  <c r="AA7" i="58"/>
  <c r="Z7" i="58"/>
  <c r="AF6" i="58"/>
  <c r="AE6" i="58"/>
  <c r="AD6" i="58"/>
  <c r="AC6" i="58"/>
  <c r="AK6" i="58" s="1"/>
  <c r="AB6" i="58"/>
  <c r="AJ6" i="58" s="1"/>
  <c r="AA6" i="58"/>
  <c r="AI6" i="58" s="1"/>
  <c r="Z6" i="58"/>
  <c r="AF5" i="58"/>
  <c r="AE5" i="58"/>
  <c r="AD5" i="58"/>
  <c r="AC5" i="58"/>
  <c r="AB5" i="58"/>
  <c r="AA5" i="58"/>
  <c r="Z5" i="58"/>
  <c r="AF4" i="58"/>
  <c r="AE4" i="58"/>
  <c r="AM4" i="58" s="1"/>
  <c r="AD4" i="58"/>
  <c r="AL4" i="58" s="1"/>
  <c r="AC4" i="58"/>
  <c r="AK4" i="58" s="1"/>
  <c r="AB4" i="58"/>
  <c r="AA4" i="58"/>
  <c r="Z4" i="58"/>
  <c r="X9" i="58"/>
  <c r="W9" i="58"/>
  <c r="V9" i="58"/>
  <c r="U9" i="58"/>
  <c r="T9" i="58"/>
  <c r="AJ9" i="58" s="1"/>
  <c r="S9" i="58"/>
  <c r="AI9" i="58" s="1"/>
  <c r="R9" i="58"/>
  <c r="X8" i="58"/>
  <c r="W8" i="58"/>
  <c r="AM8" i="58" s="1"/>
  <c r="V8" i="58"/>
  <c r="U8" i="58"/>
  <c r="T8" i="58"/>
  <c r="S8" i="58"/>
  <c r="R8" i="58"/>
  <c r="X7" i="58"/>
  <c r="W7" i="58"/>
  <c r="V7" i="58"/>
  <c r="AL7" i="58" s="1"/>
  <c r="U7" i="58"/>
  <c r="AK7" i="58" s="1"/>
  <c r="T7" i="58"/>
  <c r="S7" i="58"/>
  <c r="R7" i="58"/>
  <c r="X6" i="58"/>
  <c r="W6" i="58"/>
  <c r="V6" i="58"/>
  <c r="U6" i="58"/>
  <c r="T6" i="58"/>
  <c r="S6" i="58"/>
  <c r="R6" i="58"/>
  <c r="X5" i="58"/>
  <c r="AN5" i="58" s="1"/>
  <c r="W5" i="58"/>
  <c r="AM5" i="58" s="1"/>
  <c r="V5" i="58"/>
  <c r="U5" i="58"/>
  <c r="T5" i="58"/>
  <c r="S5" i="58"/>
  <c r="R5" i="58"/>
  <c r="X4" i="58"/>
  <c r="W4" i="58"/>
  <c r="V4" i="58"/>
  <c r="U4" i="58"/>
  <c r="T4" i="58"/>
  <c r="S4" i="58"/>
  <c r="R4" i="58"/>
  <c r="Y9" i="58"/>
  <c r="AG9" i="58" s="1"/>
  <c r="Y8" i="58"/>
  <c r="AG8" i="58" s="1"/>
  <c r="Y7" i="58"/>
  <c r="Y6" i="58"/>
  <c r="Y5" i="58"/>
  <c r="Y4" i="58"/>
  <c r="Q9" i="58"/>
  <c r="Q8" i="58"/>
  <c r="Q7" i="58"/>
  <c r="Q6" i="58"/>
  <c r="Q5" i="58"/>
  <c r="AG5" i="58" s="1"/>
  <c r="Q4" i="58"/>
  <c r="A4" i="58"/>
  <c r="A5" i="58" s="1"/>
  <c r="A6" i="58" s="1"/>
  <c r="A7" i="58" s="1"/>
  <c r="A8" i="58" s="1"/>
  <c r="A9" i="58" s="1"/>
  <c r="AN9" i="58"/>
  <c r="AM9" i="58"/>
  <c r="AL9" i="58"/>
  <c r="P6" i="58"/>
  <c r="P7" i="58" s="1"/>
  <c r="P8" i="58" s="1"/>
  <c r="P9" i="58" s="1"/>
  <c r="C6" i="58"/>
  <c r="C7" i="58" s="1"/>
  <c r="P5" i="58"/>
  <c r="H5" i="58"/>
  <c r="H6" i="58" s="1"/>
  <c r="D5" i="58"/>
  <c r="D6" i="58" s="1"/>
  <c r="D7" i="58" s="1"/>
  <c r="C5" i="58"/>
  <c r="AG7" i="58" l="1"/>
  <c r="AH6" i="58"/>
  <c r="AH4" i="58"/>
  <c r="AI4" i="58"/>
  <c r="AG4" i="58"/>
  <c r="AJ4" i="58"/>
  <c r="AL6" i="58"/>
  <c r="AH5" i="58"/>
  <c r="AJ8" i="58"/>
  <c r="AM6" i="58"/>
  <c r="AL8" i="58"/>
  <c r="AK5" i="58"/>
  <c r="AI7" i="58"/>
  <c r="AN8" i="58"/>
  <c r="AN4" i="58"/>
  <c r="AK8" i="58"/>
  <c r="AI5" i="58"/>
  <c r="AN6" i="58"/>
  <c r="AJ5" i="58"/>
  <c r="AH7" i="58"/>
  <c r="AL5" i="58"/>
  <c r="AJ7" i="58"/>
  <c r="AH9" i="58"/>
  <c r="AG6" i="58"/>
  <c r="H7" i="58"/>
  <c r="H8" i="58" l="1"/>
  <c r="H9" i="58" l="1"/>
  <c r="H12" i="57" l="1"/>
  <c r="G12" i="57"/>
  <c r="F12" i="57"/>
  <c r="E12" i="57"/>
  <c r="D12" i="57"/>
  <c r="I8" i="57"/>
  <c r="H8" i="57"/>
  <c r="G8" i="57"/>
  <c r="F8" i="57"/>
  <c r="E8" i="57"/>
  <c r="D8" i="57"/>
  <c r="C8" i="57"/>
  <c r="C12" i="57" s="1"/>
  <c r="T4" i="56"/>
  <c r="S4" i="56"/>
  <c r="R4" i="56"/>
  <c r="Q4" i="56"/>
  <c r="P4" i="56"/>
  <c r="T26" i="56"/>
  <c r="S26" i="56"/>
  <c r="R26" i="56"/>
  <c r="Q26" i="56"/>
  <c r="Q15" i="56" s="1"/>
  <c r="T25" i="56"/>
  <c r="S25" i="56"/>
  <c r="R25" i="56"/>
  <c r="Q25" i="56"/>
  <c r="T24" i="56"/>
  <c r="S24" i="56"/>
  <c r="R24" i="56"/>
  <c r="Q24" i="56"/>
  <c r="T23" i="56"/>
  <c r="S23" i="56"/>
  <c r="R23" i="56"/>
  <c r="Q23" i="56"/>
  <c r="Q12" i="56" s="1"/>
  <c r="P26" i="56"/>
  <c r="P25" i="56"/>
  <c r="P24" i="56"/>
  <c r="P23" i="56"/>
  <c r="H26" i="56"/>
  <c r="G26" i="56"/>
  <c r="F26" i="56"/>
  <c r="E26" i="56"/>
  <c r="H25" i="56"/>
  <c r="G25" i="56"/>
  <c r="F25" i="56"/>
  <c r="E25" i="56"/>
  <c r="H24" i="56"/>
  <c r="G24" i="56"/>
  <c r="F24" i="56"/>
  <c r="E24" i="56"/>
  <c r="H23" i="56"/>
  <c r="G23" i="56"/>
  <c r="F23" i="56"/>
  <c r="E23" i="56"/>
  <c r="D26" i="56"/>
  <c r="D25" i="56"/>
  <c r="D24" i="56"/>
  <c r="D23" i="56"/>
  <c r="D27" i="56" s="1"/>
  <c r="B25" i="56"/>
  <c r="B24" i="56"/>
  <c r="B23" i="56"/>
  <c r="B12" i="56" s="1"/>
  <c r="B8" i="56"/>
  <c r="N8" i="56" s="1"/>
  <c r="J62" i="55"/>
  <c r="I62" i="55"/>
  <c r="H62" i="55"/>
  <c r="G62" i="55"/>
  <c r="F62" i="55"/>
  <c r="E62" i="55"/>
  <c r="I58" i="55"/>
  <c r="G58" i="55"/>
  <c r="I57" i="55"/>
  <c r="H57" i="55"/>
  <c r="G57" i="55"/>
  <c r="F57" i="55"/>
  <c r="I56" i="55"/>
  <c r="H56" i="55"/>
  <c r="H58" i="55" s="1"/>
  <c r="G56" i="55"/>
  <c r="F56" i="55"/>
  <c r="F58" i="55" s="1"/>
  <c r="I48" i="55"/>
  <c r="H48" i="55"/>
  <c r="G48" i="55"/>
  <c r="F48" i="55"/>
  <c r="I43" i="55"/>
  <c r="H43" i="55"/>
  <c r="G43" i="55"/>
  <c r="F43" i="55"/>
  <c r="I42" i="55"/>
  <c r="I53" i="55" s="1"/>
  <c r="H42" i="55"/>
  <c r="H53" i="55" s="1"/>
  <c r="G42" i="55"/>
  <c r="G53" i="55" s="1"/>
  <c r="F42" i="55"/>
  <c r="F53" i="55" s="1"/>
  <c r="I38" i="55"/>
  <c r="H38" i="55"/>
  <c r="G38" i="55"/>
  <c r="F38" i="55"/>
  <c r="I37" i="55"/>
  <c r="I52" i="55" s="1"/>
  <c r="H37" i="55"/>
  <c r="H52" i="55" s="1"/>
  <c r="G37" i="55"/>
  <c r="G52" i="55" s="1"/>
  <c r="F37" i="55"/>
  <c r="F52" i="55" s="1"/>
  <c r="I34" i="55"/>
  <c r="H34" i="55"/>
  <c r="G34" i="55"/>
  <c r="F34" i="55"/>
  <c r="I33" i="55"/>
  <c r="H33" i="55"/>
  <c r="G33" i="55"/>
  <c r="F33" i="55"/>
  <c r="I32" i="55"/>
  <c r="H32" i="55"/>
  <c r="G32" i="55"/>
  <c r="F32" i="55"/>
  <c r="I29" i="55"/>
  <c r="H29" i="55"/>
  <c r="G29" i="55"/>
  <c r="F29" i="55"/>
  <c r="I28" i="55"/>
  <c r="H28" i="55"/>
  <c r="G28" i="55"/>
  <c r="F28" i="55"/>
  <c r="I27" i="55"/>
  <c r="H27" i="55"/>
  <c r="G27" i="55"/>
  <c r="F27" i="55"/>
  <c r="E57" i="55"/>
  <c r="E56" i="55"/>
  <c r="E58" i="55" s="1"/>
  <c r="E48" i="55"/>
  <c r="E43" i="55"/>
  <c r="E42" i="55"/>
  <c r="E38" i="55"/>
  <c r="E37" i="55"/>
  <c r="E33" i="55"/>
  <c r="E32" i="55"/>
  <c r="E19" i="55"/>
  <c r="I15" i="55"/>
  <c r="H15" i="55"/>
  <c r="G15" i="55"/>
  <c r="F15" i="55"/>
  <c r="I13" i="55"/>
  <c r="H13" i="55"/>
  <c r="G13" i="55"/>
  <c r="F13" i="55"/>
  <c r="I12" i="55"/>
  <c r="H12" i="55"/>
  <c r="G12" i="55"/>
  <c r="F12" i="55"/>
  <c r="I11" i="55"/>
  <c r="H11" i="55"/>
  <c r="G11" i="55"/>
  <c r="F11" i="55"/>
  <c r="I8" i="55"/>
  <c r="I22" i="55" s="1"/>
  <c r="H8" i="55"/>
  <c r="H20" i="55" s="1"/>
  <c r="G8" i="55"/>
  <c r="G22" i="55" s="1"/>
  <c r="F8" i="55"/>
  <c r="F21" i="55" s="1"/>
  <c r="E15" i="55"/>
  <c r="E13" i="55"/>
  <c r="E12" i="55"/>
  <c r="E11" i="55"/>
  <c r="E8" i="55"/>
  <c r="E21" i="55" s="1"/>
  <c r="C6" i="55"/>
  <c r="I73" i="54"/>
  <c r="H73" i="54"/>
  <c r="G73" i="54"/>
  <c r="F73" i="54"/>
  <c r="I72" i="54"/>
  <c r="H72" i="54"/>
  <c r="G72" i="54"/>
  <c r="F72" i="54"/>
  <c r="I71" i="54"/>
  <c r="H71" i="54"/>
  <c r="G71" i="54"/>
  <c r="F71" i="54"/>
  <c r="I69" i="54"/>
  <c r="H69" i="54"/>
  <c r="G69" i="54"/>
  <c r="F69" i="54"/>
  <c r="I68" i="54"/>
  <c r="H68" i="54"/>
  <c r="H70" i="54" s="1"/>
  <c r="G68" i="54"/>
  <c r="F68" i="54"/>
  <c r="E73" i="54"/>
  <c r="E72" i="54"/>
  <c r="E71" i="54"/>
  <c r="E69" i="54"/>
  <c r="E68" i="54"/>
  <c r="U41" i="54"/>
  <c r="T41" i="54"/>
  <c r="S41" i="54"/>
  <c r="R41" i="54"/>
  <c r="U40" i="54"/>
  <c r="T40" i="54"/>
  <c r="S40" i="54"/>
  <c r="R40" i="54"/>
  <c r="U39" i="54"/>
  <c r="T39" i="54"/>
  <c r="T51" i="54" s="1"/>
  <c r="S39" i="54"/>
  <c r="R39" i="54"/>
  <c r="U36" i="54"/>
  <c r="U48" i="54" s="1"/>
  <c r="T36" i="54"/>
  <c r="T48" i="54" s="1"/>
  <c r="S36" i="54"/>
  <c r="R36" i="54"/>
  <c r="U34" i="54"/>
  <c r="T34" i="54"/>
  <c r="T46" i="54" s="1"/>
  <c r="S34" i="54"/>
  <c r="R34" i="54"/>
  <c r="U33" i="54"/>
  <c r="U45" i="54" s="1"/>
  <c r="T33" i="54"/>
  <c r="T45" i="54" s="1"/>
  <c r="S33" i="54"/>
  <c r="R33" i="54"/>
  <c r="I41" i="54"/>
  <c r="H41" i="54"/>
  <c r="G41" i="54"/>
  <c r="G53" i="54" s="1"/>
  <c r="F41" i="54"/>
  <c r="F53" i="54" s="1"/>
  <c r="I40" i="54"/>
  <c r="I52" i="54" s="1"/>
  <c r="H40" i="54"/>
  <c r="H52" i="54" s="1"/>
  <c r="G40" i="54"/>
  <c r="F40" i="54"/>
  <c r="I39" i="54"/>
  <c r="I51" i="54" s="1"/>
  <c r="H39" i="54"/>
  <c r="H51" i="54" s="1"/>
  <c r="G39" i="54"/>
  <c r="G51" i="54" s="1"/>
  <c r="F39" i="54"/>
  <c r="F51" i="54" s="1"/>
  <c r="I36" i="54"/>
  <c r="I48" i="54" s="1"/>
  <c r="H36" i="54"/>
  <c r="H48" i="54" s="1"/>
  <c r="G36" i="54"/>
  <c r="G48" i="54" s="1"/>
  <c r="F36" i="54"/>
  <c r="F48" i="54" s="1"/>
  <c r="I34" i="54"/>
  <c r="I46" i="54" s="1"/>
  <c r="H34" i="54"/>
  <c r="G34" i="54"/>
  <c r="F34" i="54"/>
  <c r="I33" i="54"/>
  <c r="H33" i="54"/>
  <c r="G33" i="54"/>
  <c r="G45" i="54" s="1"/>
  <c r="F33" i="54"/>
  <c r="Q41" i="54"/>
  <c r="Q53" i="54" s="1"/>
  <c r="Q40" i="54"/>
  <c r="Q52" i="54" s="1"/>
  <c r="Q39" i="54"/>
  <c r="Q51" i="54" s="1"/>
  <c r="Q36" i="54"/>
  <c r="Q48" i="54" s="1"/>
  <c r="Q34" i="54"/>
  <c r="Q46" i="54" s="1"/>
  <c r="Q33" i="54"/>
  <c r="Q45" i="54" s="1"/>
  <c r="E41" i="54"/>
  <c r="E40" i="54"/>
  <c r="E39" i="54"/>
  <c r="E36" i="54"/>
  <c r="E34" i="54"/>
  <c r="E33" i="54"/>
  <c r="U30" i="54"/>
  <c r="T30" i="54"/>
  <c r="S30" i="54"/>
  <c r="R30" i="54"/>
  <c r="I30" i="54"/>
  <c r="I53" i="54" s="1"/>
  <c r="H30" i="54"/>
  <c r="G30" i="54"/>
  <c r="F30" i="54"/>
  <c r="Q30" i="54"/>
  <c r="U17" i="54"/>
  <c r="T17" i="54"/>
  <c r="S17" i="54"/>
  <c r="R17" i="54"/>
  <c r="U16" i="54"/>
  <c r="T16" i="54"/>
  <c r="S16" i="54"/>
  <c r="R16" i="54"/>
  <c r="U15" i="54"/>
  <c r="T15" i="54"/>
  <c r="S15" i="54"/>
  <c r="R15" i="54"/>
  <c r="U13" i="54"/>
  <c r="T13" i="54"/>
  <c r="S13" i="54"/>
  <c r="R13" i="54"/>
  <c r="U10" i="54"/>
  <c r="T10" i="54"/>
  <c r="S10" i="54"/>
  <c r="R10" i="54"/>
  <c r="I17" i="54"/>
  <c r="H17" i="54"/>
  <c r="G17" i="54"/>
  <c r="F17" i="54"/>
  <c r="I16" i="54"/>
  <c r="H16" i="54"/>
  <c r="G16" i="54"/>
  <c r="F16" i="54"/>
  <c r="I15" i="54"/>
  <c r="H15" i="54"/>
  <c r="G15" i="54"/>
  <c r="F15" i="54"/>
  <c r="I13" i="54"/>
  <c r="H13" i="54"/>
  <c r="G13" i="54"/>
  <c r="F13" i="54"/>
  <c r="Q17" i="54"/>
  <c r="Q16" i="54"/>
  <c r="Q15" i="54"/>
  <c r="Q13" i="54"/>
  <c r="E17" i="54"/>
  <c r="E16" i="54"/>
  <c r="E15" i="54"/>
  <c r="E13" i="54"/>
  <c r="Q10" i="54"/>
  <c r="C6" i="54"/>
  <c r="C66" i="54" s="1"/>
  <c r="C6" i="59"/>
  <c r="C7" i="59" s="1"/>
  <c r="C8" i="59" s="1"/>
  <c r="C9" i="59" s="1"/>
  <c r="B6" i="59"/>
  <c r="B7" i="59" s="1"/>
  <c r="B8" i="59" s="1"/>
  <c r="B9" i="59" s="1"/>
  <c r="A6" i="59"/>
  <c r="A7" i="59" s="1"/>
  <c r="A8" i="59" s="1"/>
  <c r="A9" i="59" s="1"/>
  <c r="O4" i="59"/>
  <c r="N4" i="59"/>
  <c r="M4" i="59"/>
  <c r="L4" i="59"/>
  <c r="K4" i="59"/>
  <c r="C15" i="57"/>
  <c r="B14" i="56"/>
  <c r="T13" i="56"/>
  <c r="N24" i="56"/>
  <c r="C23" i="56"/>
  <c r="C12" i="56" s="1"/>
  <c r="J12" i="56" s="1"/>
  <c r="N18" i="56"/>
  <c r="O16" i="56"/>
  <c r="V16" i="56" s="1"/>
  <c r="N16" i="56"/>
  <c r="J16" i="56"/>
  <c r="C16" i="56"/>
  <c r="O15" i="56"/>
  <c r="V15" i="56" s="1"/>
  <c r="C15" i="56"/>
  <c r="J15" i="56" s="1"/>
  <c r="B15" i="56"/>
  <c r="N15" i="56" s="1"/>
  <c r="V10" i="56"/>
  <c r="T10" i="56"/>
  <c r="S10" i="56"/>
  <c r="R10" i="56"/>
  <c r="Q10" i="56"/>
  <c r="P10" i="56"/>
  <c r="O10" i="56"/>
  <c r="N10" i="56"/>
  <c r="J10" i="56"/>
  <c r="S9" i="56"/>
  <c r="P8" i="56"/>
  <c r="L62" i="55"/>
  <c r="D58" i="55"/>
  <c r="L58" i="55" s="1"/>
  <c r="D57" i="55"/>
  <c r="L57" i="55" s="1"/>
  <c r="C57" i="55"/>
  <c r="D56" i="55"/>
  <c r="L56" i="55" s="1"/>
  <c r="C56" i="55"/>
  <c r="L55" i="55"/>
  <c r="L53" i="55"/>
  <c r="L52" i="55"/>
  <c r="L51" i="55"/>
  <c r="L49" i="55"/>
  <c r="D49" i="55"/>
  <c r="C49" i="55"/>
  <c r="L46" i="55"/>
  <c r="L44" i="55"/>
  <c r="D44" i="55"/>
  <c r="C44" i="55"/>
  <c r="D43" i="55"/>
  <c r="D48" i="55" s="1"/>
  <c r="L48" i="55" s="1"/>
  <c r="C43" i="55"/>
  <c r="C48" i="55" s="1"/>
  <c r="L42" i="55"/>
  <c r="D42" i="55"/>
  <c r="D47" i="55" s="1"/>
  <c r="L47" i="55" s="1"/>
  <c r="C42" i="55"/>
  <c r="C47" i="55" s="1"/>
  <c r="L41" i="55"/>
  <c r="L39" i="55"/>
  <c r="L38" i="55"/>
  <c r="L37" i="55"/>
  <c r="L36" i="55"/>
  <c r="E34" i="55"/>
  <c r="D34" i="55"/>
  <c r="L34" i="55" s="1"/>
  <c r="C34" i="55"/>
  <c r="C58" i="55" s="1"/>
  <c r="L33" i="55"/>
  <c r="D33" i="55"/>
  <c r="C33" i="55"/>
  <c r="D32" i="55"/>
  <c r="L32" i="55" s="1"/>
  <c r="C32" i="55"/>
  <c r="L31" i="55"/>
  <c r="L29" i="55"/>
  <c r="L28" i="55"/>
  <c r="L27" i="55"/>
  <c r="L26" i="55"/>
  <c r="L24" i="55"/>
  <c r="D23" i="55"/>
  <c r="L23" i="55" s="1"/>
  <c r="C23" i="55"/>
  <c r="L22" i="55"/>
  <c r="D22" i="55"/>
  <c r="C22" i="55"/>
  <c r="D21" i="55"/>
  <c r="L21" i="55" s="1"/>
  <c r="C21" i="55"/>
  <c r="D20" i="55"/>
  <c r="L20" i="55" s="1"/>
  <c r="C20" i="55"/>
  <c r="L19" i="55"/>
  <c r="D19" i="55"/>
  <c r="C19" i="55"/>
  <c r="L18" i="55"/>
  <c r="L16" i="55"/>
  <c r="L15" i="55"/>
  <c r="L14" i="55"/>
  <c r="L13" i="55"/>
  <c r="L12" i="55"/>
  <c r="L11" i="55"/>
  <c r="L10" i="55"/>
  <c r="L8" i="55"/>
  <c r="O58" i="54"/>
  <c r="O57" i="54"/>
  <c r="O56" i="54"/>
  <c r="D54" i="54"/>
  <c r="K54" i="54" s="1"/>
  <c r="C54" i="54"/>
  <c r="P53" i="54"/>
  <c r="W53" i="54" s="1"/>
  <c r="O53" i="54"/>
  <c r="K53" i="54"/>
  <c r="H53" i="54"/>
  <c r="D53" i="54"/>
  <c r="C53" i="54"/>
  <c r="P52" i="54"/>
  <c r="W52" i="54" s="1"/>
  <c r="D52" i="54"/>
  <c r="K52" i="54" s="1"/>
  <c r="C52" i="54"/>
  <c r="D51" i="54"/>
  <c r="K51" i="54" s="1"/>
  <c r="C51" i="54"/>
  <c r="K50" i="54"/>
  <c r="D50" i="54"/>
  <c r="C50" i="54"/>
  <c r="D49" i="54"/>
  <c r="K49" i="54" s="1"/>
  <c r="C49" i="54"/>
  <c r="D48" i="54"/>
  <c r="K48" i="54" s="1"/>
  <c r="C48" i="54"/>
  <c r="P47" i="54"/>
  <c r="W47" i="54" s="1"/>
  <c r="O47" i="54"/>
  <c r="K47" i="54"/>
  <c r="D47" i="54"/>
  <c r="C47" i="54"/>
  <c r="P46" i="54"/>
  <c r="W46" i="54" s="1"/>
  <c r="D46" i="54"/>
  <c r="K46" i="54" s="1"/>
  <c r="C46" i="54"/>
  <c r="D45" i="54"/>
  <c r="K45" i="54" s="1"/>
  <c r="C45" i="54"/>
  <c r="D44" i="54"/>
  <c r="K44" i="54" s="1"/>
  <c r="C44" i="54"/>
  <c r="W42" i="54"/>
  <c r="P42" i="54"/>
  <c r="P54" i="54" s="1"/>
  <c r="W54" i="54" s="1"/>
  <c r="O42" i="54"/>
  <c r="O54" i="54" s="1"/>
  <c r="K42" i="54"/>
  <c r="W41" i="54"/>
  <c r="P41" i="54"/>
  <c r="O41" i="54"/>
  <c r="K41" i="54"/>
  <c r="W40" i="54"/>
  <c r="P40" i="54"/>
  <c r="O40" i="54"/>
  <c r="O52" i="54" s="1"/>
  <c r="K40" i="54"/>
  <c r="P39" i="54"/>
  <c r="W39" i="54" s="1"/>
  <c r="O39" i="54"/>
  <c r="O51" i="54" s="1"/>
  <c r="K39" i="54"/>
  <c r="P38" i="54"/>
  <c r="P50" i="54" s="1"/>
  <c r="W50" i="54" s="1"/>
  <c r="O38" i="54"/>
  <c r="O50" i="54" s="1"/>
  <c r="K38" i="54"/>
  <c r="P37" i="54"/>
  <c r="P49" i="54" s="1"/>
  <c r="W49" i="54" s="1"/>
  <c r="O37" i="54"/>
  <c r="O49" i="54" s="1"/>
  <c r="K37" i="54"/>
  <c r="W36" i="54"/>
  <c r="P36" i="54"/>
  <c r="P48" i="54" s="1"/>
  <c r="W48" i="54" s="1"/>
  <c r="O36" i="54"/>
  <c r="O48" i="54" s="1"/>
  <c r="K36" i="54"/>
  <c r="W35" i="54"/>
  <c r="P35" i="54"/>
  <c r="O35" i="54"/>
  <c r="K35" i="54"/>
  <c r="W34" i="54"/>
  <c r="P34" i="54"/>
  <c r="O34" i="54"/>
  <c r="O46" i="54" s="1"/>
  <c r="K34" i="54"/>
  <c r="P33" i="54"/>
  <c r="W33" i="54" s="1"/>
  <c r="O33" i="54"/>
  <c r="O45" i="54" s="1"/>
  <c r="K33" i="54"/>
  <c r="P32" i="54"/>
  <c r="W32" i="54" s="1"/>
  <c r="O32" i="54"/>
  <c r="K32" i="54"/>
  <c r="P30" i="54"/>
  <c r="W30" i="54" s="1"/>
  <c r="O30" i="54"/>
  <c r="K30" i="54"/>
  <c r="P28" i="54"/>
  <c r="W28" i="54" s="1"/>
  <c r="O28" i="54"/>
  <c r="K28" i="54"/>
  <c r="O26" i="54"/>
  <c r="K26" i="54"/>
  <c r="D26" i="54"/>
  <c r="C26" i="54"/>
  <c r="P25" i="54"/>
  <c r="W25" i="54" s="1"/>
  <c r="D25" i="54"/>
  <c r="K25" i="54" s="1"/>
  <c r="C25" i="54"/>
  <c r="D24" i="54"/>
  <c r="K24" i="54" s="1"/>
  <c r="C24" i="54"/>
  <c r="P23" i="54"/>
  <c r="W23" i="54" s="1"/>
  <c r="O23" i="54"/>
  <c r="K23" i="54"/>
  <c r="D23" i="54"/>
  <c r="C23" i="54"/>
  <c r="P22" i="54"/>
  <c r="W22" i="54" s="1"/>
  <c r="D22" i="54"/>
  <c r="K22" i="54" s="1"/>
  <c r="C22" i="54"/>
  <c r="D21" i="54"/>
  <c r="K21" i="54" s="1"/>
  <c r="C21" i="54"/>
  <c r="P20" i="54"/>
  <c r="W20" i="54" s="1"/>
  <c r="O20" i="54"/>
  <c r="O44" i="54" s="1"/>
  <c r="K20" i="54"/>
  <c r="P18" i="54"/>
  <c r="P26" i="54" s="1"/>
  <c r="W26" i="54" s="1"/>
  <c r="O18" i="54"/>
  <c r="K18" i="54"/>
  <c r="W17" i="54"/>
  <c r="P17" i="54"/>
  <c r="O17" i="54"/>
  <c r="O25" i="54" s="1"/>
  <c r="K17" i="54"/>
  <c r="W16" i="54"/>
  <c r="P16" i="54"/>
  <c r="P24" i="54" s="1"/>
  <c r="W24" i="54" s="1"/>
  <c r="O16" i="54"/>
  <c r="O24" i="54" s="1"/>
  <c r="K16" i="54"/>
  <c r="W15" i="54"/>
  <c r="P15" i="54"/>
  <c r="O15" i="54"/>
  <c r="K15" i="54"/>
  <c r="P14" i="54"/>
  <c r="W14" i="54" s="1"/>
  <c r="O14" i="54"/>
  <c r="O22" i="54" s="1"/>
  <c r="K14" i="54"/>
  <c r="P13" i="54"/>
  <c r="P21" i="54" s="1"/>
  <c r="W21" i="54" s="1"/>
  <c r="O13" i="54"/>
  <c r="O21" i="54" s="1"/>
  <c r="K13" i="54"/>
  <c r="P12" i="54"/>
  <c r="W12" i="54" s="1"/>
  <c r="O12" i="54"/>
  <c r="K12" i="54"/>
  <c r="W10" i="54"/>
  <c r="P10" i="54"/>
  <c r="O10" i="54"/>
  <c r="K10" i="54"/>
  <c r="P9" i="54"/>
  <c r="W9" i="54" s="1"/>
  <c r="O9" i="54"/>
  <c r="K9" i="54"/>
  <c r="W7" i="54"/>
  <c r="K7" i="54"/>
  <c r="AF4" i="53"/>
  <c r="U19" i="53"/>
  <c r="T19" i="53"/>
  <c r="S19" i="53"/>
  <c r="R19" i="53"/>
  <c r="Q19" i="53"/>
  <c r="U18" i="53"/>
  <c r="T18" i="53"/>
  <c r="S18" i="53"/>
  <c r="R18" i="53"/>
  <c r="U17" i="53"/>
  <c r="T17" i="53"/>
  <c r="S17" i="53"/>
  <c r="R17" i="53"/>
  <c r="J17" i="53"/>
  <c r="J18" i="53" s="1"/>
  <c r="J19" i="53" s="1"/>
  <c r="S14" i="56" l="1"/>
  <c r="R15" i="56"/>
  <c r="I70" i="54"/>
  <c r="T21" i="54"/>
  <c r="T15" i="56"/>
  <c r="R12" i="56"/>
  <c r="G39" i="55"/>
  <c r="H74" i="54"/>
  <c r="F70" i="54"/>
  <c r="F74" i="54" s="1"/>
  <c r="S23" i="54"/>
  <c r="U51" i="54"/>
  <c r="Q14" i="56"/>
  <c r="E70" i="54"/>
  <c r="E74" i="54" s="1"/>
  <c r="S13" i="56"/>
  <c r="G44" i="55"/>
  <c r="P27" i="56"/>
  <c r="P16" i="56" s="1"/>
  <c r="S27" i="56"/>
  <c r="S16" i="56" s="1"/>
  <c r="H44" i="55"/>
  <c r="I44" i="55"/>
  <c r="G70" i="54"/>
  <c r="G74" i="54" s="1"/>
  <c r="F39" i="55"/>
  <c r="F44" i="55"/>
  <c r="R14" i="56"/>
  <c r="I74" i="54"/>
  <c r="E39" i="55"/>
  <c r="T27" i="56"/>
  <c r="T16" i="56" s="1"/>
  <c r="S12" i="56"/>
  <c r="I39" i="55"/>
  <c r="P14" i="56"/>
  <c r="T12" i="56"/>
  <c r="H39" i="55"/>
  <c r="R21" i="54"/>
  <c r="F45" i="54"/>
  <c r="F22" i="55"/>
  <c r="G23" i="55"/>
  <c r="G21" i="55"/>
  <c r="F14" i="55"/>
  <c r="G14" i="55"/>
  <c r="H19" i="55"/>
  <c r="H21" i="55"/>
  <c r="E20" i="55"/>
  <c r="H22" i="55"/>
  <c r="S24" i="54"/>
  <c r="H14" i="55"/>
  <c r="I14" i="55"/>
  <c r="N23" i="56"/>
  <c r="O23" i="56" s="1"/>
  <c r="O12" i="56" s="1"/>
  <c r="V12" i="56" s="1"/>
  <c r="P12" i="56"/>
  <c r="S15" i="56"/>
  <c r="P15" i="56"/>
  <c r="P13" i="56"/>
  <c r="Q13" i="56"/>
  <c r="R13" i="56"/>
  <c r="Q27" i="56"/>
  <c r="Q16" i="56" s="1"/>
  <c r="R27" i="56"/>
  <c r="R16" i="56" s="1"/>
  <c r="E44" i="55"/>
  <c r="E53" i="55"/>
  <c r="E52" i="55"/>
  <c r="I21" i="55"/>
  <c r="I23" i="55"/>
  <c r="G19" i="55"/>
  <c r="I19" i="55"/>
  <c r="E14" i="55"/>
  <c r="R25" i="54"/>
  <c r="Q25" i="54"/>
  <c r="Q21" i="54"/>
  <c r="O24" i="56"/>
  <c r="O13" i="56" s="1"/>
  <c r="V13" i="56" s="1"/>
  <c r="N13" i="56"/>
  <c r="T14" i="56"/>
  <c r="C24" i="56"/>
  <c r="C13" i="56" s="1"/>
  <c r="J13" i="56" s="1"/>
  <c r="C25" i="56"/>
  <c r="C14" i="56" s="1"/>
  <c r="J14" i="56" s="1"/>
  <c r="E27" i="56"/>
  <c r="F27" i="56"/>
  <c r="G27" i="56"/>
  <c r="B13" i="56"/>
  <c r="H27" i="56"/>
  <c r="N25" i="56"/>
  <c r="E23" i="55"/>
  <c r="G20" i="55"/>
  <c r="L43" i="55"/>
  <c r="H23" i="55"/>
  <c r="I20" i="55"/>
  <c r="E22" i="55"/>
  <c r="F20" i="55"/>
  <c r="F23" i="55"/>
  <c r="F19" i="55"/>
  <c r="R46" i="54"/>
  <c r="R52" i="54"/>
  <c r="O6" i="54"/>
  <c r="W18" i="54"/>
  <c r="R23" i="54"/>
  <c r="W37" i="54"/>
  <c r="F46" i="54"/>
  <c r="F52" i="54"/>
  <c r="R53" i="54"/>
  <c r="T24" i="54"/>
  <c r="U21" i="54"/>
  <c r="S52" i="54"/>
  <c r="T52" i="54"/>
  <c r="I45" i="54"/>
  <c r="U46" i="54"/>
  <c r="G46" i="54"/>
  <c r="G52" i="54"/>
  <c r="S53" i="54"/>
  <c r="S25" i="54"/>
  <c r="S46" i="54"/>
  <c r="T25" i="54"/>
  <c r="H45" i="54"/>
  <c r="Q23" i="54"/>
  <c r="U25" i="54"/>
  <c r="U52" i="54"/>
  <c r="W13" i="54"/>
  <c r="T23" i="54"/>
  <c r="W38" i="54"/>
  <c r="P45" i="54"/>
  <c r="W45" i="54" s="1"/>
  <c r="H46" i="54"/>
  <c r="P51" i="54"/>
  <c r="W51" i="54" s="1"/>
  <c r="T53" i="54"/>
  <c r="U53" i="54"/>
  <c r="U24" i="54"/>
  <c r="Q24" i="54"/>
  <c r="R24" i="54"/>
  <c r="R45" i="54"/>
  <c r="R48" i="54"/>
  <c r="R51" i="54"/>
  <c r="U23" i="54"/>
  <c r="P44" i="54"/>
  <c r="W44" i="54" s="1"/>
  <c r="S21" i="54"/>
  <c r="S45" i="54"/>
  <c r="S48" i="54"/>
  <c r="S51" i="54"/>
  <c r="A4" i="53"/>
  <c r="I16" i="53" s="1"/>
  <c r="I17" i="53" s="1"/>
  <c r="I18" i="53" s="1"/>
  <c r="I19" i="53" s="1"/>
  <c r="AK5" i="53"/>
  <c r="AJ5" i="53"/>
  <c r="AI5" i="53"/>
  <c r="AH5" i="53"/>
  <c r="AK4" i="53"/>
  <c r="AJ4" i="53"/>
  <c r="AI4" i="53"/>
  <c r="AH4" i="53"/>
  <c r="AA5" i="53"/>
  <c r="Z5" i="53"/>
  <c r="Y5" i="53"/>
  <c r="X5" i="53"/>
  <c r="AA4" i="53"/>
  <c r="Z4" i="53"/>
  <c r="Y4" i="53"/>
  <c r="X4" i="53"/>
  <c r="U5" i="53"/>
  <c r="T5" i="53"/>
  <c r="S5" i="53"/>
  <c r="R5" i="53"/>
  <c r="U4" i="53"/>
  <c r="T4" i="53"/>
  <c r="S4" i="53"/>
  <c r="R4" i="53"/>
  <c r="W5" i="53"/>
  <c r="AG5" i="53" s="1"/>
  <c r="W4" i="53"/>
  <c r="AG4" i="53" s="1"/>
  <c r="Q5" i="53"/>
  <c r="Q4" i="53"/>
  <c r="AF5" i="53"/>
  <c r="AE5" i="53"/>
  <c r="AD5" i="53"/>
  <c r="AC5" i="53"/>
  <c r="H5" i="53"/>
  <c r="D5" i="53"/>
  <c r="C5" i="53"/>
  <c r="AE4" i="53"/>
  <c r="AD4" i="53"/>
  <c r="AC4" i="53"/>
  <c r="AB4" i="53" l="1"/>
  <c r="AB5" i="53"/>
  <c r="B4" i="53"/>
  <c r="B5" i="53" s="1"/>
  <c r="A5" i="53"/>
  <c r="N12" i="56"/>
  <c r="O25" i="56"/>
  <c r="O14" i="56" s="1"/>
  <c r="V14" i="56" s="1"/>
  <c r="N14" i="56"/>
  <c r="H310" i="39" l="1"/>
  <c r="G310" i="39"/>
  <c r="F310" i="39"/>
  <c r="H304" i="39"/>
  <c r="G304" i="39"/>
  <c r="F304" i="39"/>
  <c r="C2" i="38" l="1"/>
  <c r="B54" i="48"/>
  <c r="C57" i="48"/>
  <c r="C56" i="48"/>
  <c r="K54" i="42"/>
  <c r="U14" i="54" s="1"/>
  <c r="J54" i="42"/>
  <c r="T14" i="54" s="1"/>
  <c r="I54" i="42"/>
  <c r="S14" i="54" s="1"/>
  <c r="H54" i="42"/>
  <c r="R14" i="54" s="1"/>
  <c r="G54" i="42"/>
  <c r="Q14" i="54" s="1"/>
  <c r="B29" i="42"/>
  <c r="B54" i="42" s="1"/>
  <c r="K29" i="42"/>
  <c r="J29" i="42"/>
  <c r="I29" i="42"/>
  <c r="H29" i="42"/>
  <c r="G29" i="42"/>
  <c r="K33" i="42" l="1"/>
  <c r="I14" i="54"/>
  <c r="I18" i="54" s="1"/>
  <c r="I35" i="54" s="1"/>
  <c r="Q18" i="54"/>
  <c r="Q22" i="54"/>
  <c r="R18" i="54"/>
  <c r="R22" i="54"/>
  <c r="S18" i="54"/>
  <c r="S22" i="54"/>
  <c r="T22" i="54"/>
  <c r="T18" i="54"/>
  <c r="U18" i="54"/>
  <c r="U22" i="54"/>
  <c r="G58" i="42"/>
  <c r="G33" i="42"/>
  <c r="E14" i="54"/>
  <c r="E18" i="54" s="1"/>
  <c r="E35" i="54" s="1"/>
  <c r="E37" i="54" s="1"/>
  <c r="E38" i="54" s="1"/>
  <c r="E42" i="54" s="1"/>
  <c r="H58" i="42"/>
  <c r="H33" i="42"/>
  <c r="F14" i="54"/>
  <c r="F18" i="54" s="1"/>
  <c r="F35" i="54" s="1"/>
  <c r="I58" i="42"/>
  <c r="I33" i="42"/>
  <c r="G14" i="54"/>
  <c r="G18" i="54" s="1"/>
  <c r="G35" i="54" s="1"/>
  <c r="J58" i="42"/>
  <c r="J33" i="42"/>
  <c r="H14" i="54"/>
  <c r="H18" i="54" s="1"/>
  <c r="H35" i="54" s="1"/>
  <c r="K58" i="42"/>
  <c r="H23" i="42"/>
  <c r="I23" i="42"/>
  <c r="J23" i="42"/>
  <c r="K23" i="42"/>
  <c r="G23" i="42"/>
  <c r="B35" i="42"/>
  <c r="B198" i="42" s="1"/>
  <c r="C20" i="38"/>
  <c r="C8" i="38"/>
  <c r="U35" i="54" l="1"/>
  <c r="U26" i="54"/>
  <c r="G47" i="54"/>
  <c r="G37" i="54"/>
  <c r="S35" i="54"/>
  <c r="S26" i="54"/>
  <c r="F37" i="54"/>
  <c r="F47" i="54"/>
  <c r="T35" i="54"/>
  <c r="T26" i="54"/>
  <c r="R35" i="54"/>
  <c r="R26" i="54"/>
  <c r="Q35" i="54"/>
  <c r="Q26" i="54"/>
  <c r="H47" i="54"/>
  <c r="H37" i="54"/>
  <c r="I47" i="54"/>
  <c r="I37" i="54"/>
  <c r="H4" i="56"/>
  <c r="I10" i="54"/>
  <c r="G4" i="56"/>
  <c r="H10" i="54"/>
  <c r="F4" i="56"/>
  <c r="G10" i="54"/>
  <c r="E4" i="56"/>
  <c r="F10" i="54"/>
  <c r="E10" i="54"/>
  <c r="D4" i="56"/>
  <c r="B222" i="42"/>
  <c r="B391" i="42"/>
  <c r="B60" i="42"/>
  <c r="B88" i="47"/>
  <c r="K35" i="39"/>
  <c r="J35" i="39"/>
  <c r="I35" i="39"/>
  <c r="H35" i="39"/>
  <c r="G35" i="39"/>
  <c r="E28" i="55" s="1"/>
  <c r="K34" i="39"/>
  <c r="J34" i="39"/>
  <c r="I34" i="39"/>
  <c r="H34" i="39"/>
  <c r="G34" i="39"/>
  <c r="E36" i="39"/>
  <c r="E35" i="39"/>
  <c r="E34" i="39"/>
  <c r="B34" i="39"/>
  <c r="B49" i="44"/>
  <c r="B40" i="44"/>
  <c r="B31" i="44"/>
  <c r="B22" i="44"/>
  <c r="B13" i="44"/>
  <c r="D12" i="44"/>
  <c r="C12" i="44"/>
  <c r="C12" i="45"/>
  <c r="B50" i="39"/>
  <c r="F50" i="39"/>
  <c r="P67" i="48"/>
  <c r="O67" i="48"/>
  <c r="P66" i="48"/>
  <c r="O66" i="48"/>
  <c r="O309" i="47"/>
  <c r="O296" i="47"/>
  <c r="O283" i="47"/>
  <c r="I50" i="39"/>
  <c r="K50" i="39"/>
  <c r="J50" i="39"/>
  <c r="G50" i="39"/>
  <c r="H50" i="39"/>
  <c r="R37" i="54" l="1"/>
  <c r="R47" i="54"/>
  <c r="T47" i="54"/>
  <c r="T37" i="54"/>
  <c r="I38" i="54"/>
  <c r="I49" i="54"/>
  <c r="F38" i="54"/>
  <c r="F49" i="54"/>
  <c r="S37" i="54"/>
  <c r="S47" i="54"/>
  <c r="H38" i="54"/>
  <c r="H49" i="54"/>
  <c r="Q47" i="54"/>
  <c r="Q37" i="54"/>
  <c r="G38" i="54"/>
  <c r="G49" i="54"/>
  <c r="U37" i="54"/>
  <c r="U47" i="54"/>
  <c r="H23" i="54"/>
  <c r="H21" i="54"/>
  <c r="H24" i="54"/>
  <c r="H22" i="54"/>
  <c r="H25" i="54"/>
  <c r="H26" i="54"/>
  <c r="G14" i="56"/>
  <c r="G12" i="56"/>
  <c r="G15" i="56"/>
  <c r="G13" i="56"/>
  <c r="G16" i="56"/>
  <c r="E12" i="56"/>
  <c r="E14" i="56"/>
  <c r="E15" i="56"/>
  <c r="E13" i="56"/>
  <c r="E16" i="56"/>
  <c r="F12" i="56"/>
  <c r="F15" i="56"/>
  <c r="F14" i="56"/>
  <c r="F13" i="56"/>
  <c r="F16" i="56"/>
  <c r="I23" i="54"/>
  <c r="I25" i="54"/>
  <c r="I26" i="54"/>
  <c r="I21" i="54"/>
  <c r="I24" i="54"/>
  <c r="I22" i="54"/>
  <c r="F23" i="54"/>
  <c r="F21" i="54"/>
  <c r="F26" i="54"/>
  <c r="F24" i="54"/>
  <c r="F25" i="54"/>
  <c r="F22" i="54"/>
  <c r="G21" i="54"/>
  <c r="G25" i="54"/>
  <c r="G23" i="54"/>
  <c r="G26" i="54"/>
  <c r="G24" i="54"/>
  <c r="G22" i="54"/>
  <c r="H14" i="56"/>
  <c r="H15" i="56"/>
  <c r="H13" i="56"/>
  <c r="H12" i="56"/>
  <c r="H16" i="56"/>
  <c r="G36" i="39"/>
  <c r="F5" i="59"/>
  <c r="F7" i="59"/>
  <c r="F9" i="59"/>
  <c r="F6" i="59"/>
  <c r="F8" i="59"/>
  <c r="E30" i="54"/>
  <c r="E27" i="55"/>
  <c r="E29" i="55" s="1"/>
  <c r="D12" i="56"/>
  <c r="D14" i="56"/>
  <c r="D13" i="56"/>
  <c r="D15" i="56"/>
  <c r="D16" i="56"/>
  <c r="E24" i="54"/>
  <c r="E21" i="54"/>
  <c r="E23" i="54"/>
  <c r="E22" i="54"/>
  <c r="E25" i="54"/>
  <c r="E26" i="54"/>
  <c r="O86" i="47"/>
  <c r="O62" i="48"/>
  <c r="B48" i="38"/>
  <c r="C50" i="38"/>
  <c r="B50" i="38"/>
  <c r="C49" i="38"/>
  <c r="B49" i="38"/>
  <c r="C38" i="38"/>
  <c r="B46" i="38"/>
  <c r="B45" i="38" s="1"/>
  <c r="J11" i="46"/>
  <c r="H381" i="47"/>
  <c r="I42" i="54" l="1"/>
  <c r="I54" i="54" s="1"/>
  <c r="I50" i="54"/>
  <c r="H42" i="54"/>
  <c r="H54" i="54" s="1"/>
  <c r="H50" i="54"/>
  <c r="F42" i="54"/>
  <c r="F54" i="54" s="1"/>
  <c r="F50" i="54"/>
  <c r="T38" i="54"/>
  <c r="T49" i="54"/>
  <c r="S38" i="54"/>
  <c r="S49" i="54"/>
  <c r="U38" i="54"/>
  <c r="U49" i="54"/>
  <c r="Q38" i="54"/>
  <c r="Q49" i="54"/>
  <c r="G42" i="54"/>
  <c r="G54" i="54" s="1"/>
  <c r="G50" i="54"/>
  <c r="R38" i="54"/>
  <c r="R49" i="54"/>
  <c r="E48" i="54"/>
  <c r="E52" i="54"/>
  <c r="E45" i="54"/>
  <c r="E51" i="54"/>
  <c r="E53" i="54"/>
  <c r="E46" i="54"/>
  <c r="E47" i="54"/>
  <c r="E49" i="54"/>
  <c r="E50" i="54"/>
  <c r="E54" i="54"/>
  <c r="P86" i="47"/>
  <c r="B86" i="47" s="1"/>
  <c r="B90" i="47"/>
  <c r="P62" i="48"/>
  <c r="L229" i="39"/>
  <c r="H254" i="39" s="1"/>
  <c r="K229" i="39"/>
  <c r="B44" i="38"/>
  <c r="P309" i="47"/>
  <c r="B255" i="39"/>
  <c r="B261" i="39"/>
  <c r="B260" i="39"/>
  <c r="B308" i="39" s="1"/>
  <c r="B254" i="39"/>
  <c r="B302" i="39" s="1"/>
  <c r="H312" i="39"/>
  <c r="G312" i="39"/>
  <c r="F312" i="39"/>
  <c r="B312" i="39"/>
  <c r="B310" i="39"/>
  <c r="H306" i="39"/>
  <c r="G306" i="39"/>
  <c r="F306" i="39"/>
  <c r="B306" i="39"/>
  <c r="B304" i="39"/>
  <c r="H264" i="39"/>
  <c r="G264" i="39"/>
  <c r="F264" i="39"/>
  <c r="H262" i="39"/>
  <c r="G262" i="39"/>
  <c r="F262" i="39"/>
  <c r="B264" i="39"/>
  <c r="B262" i="39"/>
  <c r="Q42" i="54" l="1"/>
  <c r="Q54" i="54" s="1"/>
  <c r="Q50" i="54"/>
  <c r="U42" i="54"/>
  <c r="U54" i="54" s="1"/>
  <c r="U50" i="54"/>
  <c r="S42" i="54"/>
  <c r="S54" i="54" s="1"/>
  <c r="S50" i="54"/>
  <c r="T42" i="54"/>
  <c r="T54" i="54" s="1"/>
  <c r="T50" i="54"/>
  <c r="R42" i="54"/>
  <c r="R54" i="54" s="1"/>
  <c r="R50" i="54"/>
  <c r="B43" i="38"/>
  <c r="J229" i="39"/>
  <c r="H258" i="39"/>
  <c r="H256" i="39"/>
  <c r="G258" i="39"/>
  <c r="G256" i="39"/>
  <c r="F258" i="39"/>
  <c r="F256" i="39"/>
  <c r="D66" i="38"/>
  <c r="D67" i="38"/>
  <c r="D65" i="38"/>
  <c r="D62" i="38"/>
  <c r="D63" i="38"/>
  <c r="D61" i="38"/>
  <c r="B258" i="39"/>
  <c r="B256" i="39"/>
  <c r="P60" i="47"/>
  <c r="D27" i="49"/>
  <c r="B27" i="49"/>
  <c r="H309" i="39" l="1"/>
  <c r="G309" i="39"/>
  <c r="F309" i="39"/>
  <c r="G303" i="39"/>
  <c r="F303" i="39"/>
  <c r="H303" i="39"/>
  <c r="B42" i="38"/>
  <c r="I229" i="39"/>
  <c r="H255" i="39"/>
  <c r="F261" i="39"/>
  <c r="H261" i="39"/>
  <c r="G261" i="39"/>
  <c r="G255" i="39"/>
  <c r="F255" i="39"/>
  <c r="B41" i="38" l="1"/>
  <c r="H229" i="39"/>
  <c r="B40" i="38" l="1"/>
  <c r="G229" i="39"/>
  <c r="D58" i="38"/>
  <c r="D57" i="38"/>
  <c r="G250" i="42" s="1"/>
  <c r="B250" i="42"/>
  <c r="B245" i="42"/>
  <c r="B240" i="42"/>
  <c r="B235" i="42"/>
  <c r="G233" i="42"/>
  <c r="H233" i="42" s="1"/>
  <c r="I233" i="42" s="1"/>
  <c r="B233" i="42"/>
  <c r="B380" i="42"/>
  <c r="B39" i="38" l="1"/>
  <c r="E229" i="39" s="1"/>
  <c r="F229" i="39"/>
  <c r="H235" i="42"/>
  <c r="K250" i="42"/>
  <c r="J250" i="42"/>
  <c r="K240" i="42"/>
  <c r="I250" i="42"/>
  <c r="H250" i="42"/>
  <c r="K245" i="42"/>
  <c r="G235" i="42"/>
  <c r="J245" i="42"/>
  <c r="K235" i="42"/>
  <c r="I245" i="42"/>
  <c r="G240" i="42"/>
  <c r="J240" i="42"/>
  <c r="I240" i="42"/>
  <c r="H240" i="42"/>
  <c r="G245" i="42"/>
  <c r="J235" i="42"/>
  <c r="H245" i="42"/>
  <c r="I235" i="42"/>
  <c r="B10" i="48" l="1"/>
  <c r="F36" i="46"/>
  <c r="G36" i="46"/>
  <c r="H36" i="46"/>
  <c r="I36" i="46"/>
  <c r="F37" i="46"/>
  <c r="G37" i="46"/>
  <c r="H37" i="46"/>
  <c r="I37" i="46"/>
  <c r="F38" i="46"/>
  <c r="G38" i="46"/>
  <c r="H38" i="46"/>
  <c r="I38" i="46"/>
  <c r="E38" i="46"/>
  <c r="E37" i="46"/>
  <c r="Q18" i="53" s="1"/>
  <c r="E36" i="46"/>
  <c r="Q17" i="53" s="1"/>
  <c r="D12" i="45"/>
  <c r="P296" i="47"/>
  <c r="P240" i="47"/>
  <c r="P366" i="47" l="1"/>
  <c r="P8" i="47" l="1"/>
  <c r="O428" i="47"/>
  <c r="K26" i="39" l="1"/>
  <c r="J26" i="39"/>
  <c r="K25" i="39"/>
  <c r="J25" i="39"/>
  <c r="K25" i="37"/>
  <c r="P246" i="39"/>
  <c r="O246" i="39"/>
  <c r="P242" i="39"/>
  <c r="O242" i="39"/>
  <c r="P238" i="39"/>
  <c r="O238" i="39"/>
  <c r="P234" i="39"/>
  <c r="O234" i="39"/>
  <c r="P230" i="39"/>
  <c r="O230" i="39"/>
  <c r="B139" i="48"/>
  <c r="K53" i="39" l="1"/>
  <c r="I35" i="46"/>
  <c r="U16" i="53" s="1"/>
  <c r="P352" i="47"/>
  <c r="P338" i="47"/>
  <c r="F254" i="39" l="1"/>
  <c r="F260" i="39" s="1"/>
  <c r="B17" i="46"/>
  <c r="F67" i="48"/>
  <c r="F65" i="48"/>
  <c r="B6" i="49" l="1"/>
  <c r="B6" i="48"/>
  <c r="B170" i="47"/>
  <c r="B172" i="47"/>
  <c r="B173" i="47"/>
  <c r="B174" i="47"/>
  <c r="O122" i="42"/>
  <c r="P145" i="39"/>
  <c r="O145" i="39"/>
  <c r="O124" i="39"/>
  <c r="O60" i="37"/>
  <c r="O399" i="47"/>
  <c r="O386" i="47"/>
  <c r="O338" i="47"/>
  <c r="O191" i="47"/>
  <c r="B442" i="47"/>
  <c r="B6" i="45" l="1"/>
  <c r="B6" i="47"/>
  <c r="B6" i="42"/>
  <c r="B6" i="46"/>
  <c r="B6" i="39"/>
  <c r="B6" i="44"/>
  <c r="B6" i="37"/>
  <c r="B6" i="43"/>
  <c r="O240" i="47"/>
  <c r="B121" i="43" l="1"/>
  <c r="B111" i="43"/>
  <c r="B101" i="43"/>
  <c r="B91" i="43"/>
  <c r="B81" i="43"/>
  <c r="B71" i="43"/>
  <c r="B61" i="43"/>
  <c r="B51" i="43"/>
  <c r="B41" i="43"/>
  <c r="B31" i="43"/>
  <c r="B21" i="43"/>
  <c r="D55" i="38"/>
  <c r="D54" i="38"/>
  <c r="B129" i="43"/>
  <c r="B182" i="43" l="1"/>
  <c r="B228" i="43" s="1"/>
  <c r="B28" i="43"/>
  <c r="B38" i="43"/>
  <c r="B48" i="43"/>
  <c r="B58" i="43"/>
  <c r="B68" i="43"/>
  <c r="B78" i="43"/>
  <c r="B88" i="43"/>
  <c r="B98" i="43"/>
  <c r="B108" i="43"/>
  <c r="B118" i="43"/>
  <c r="B343" i="42"/>
  <c r="B353" i="42"/>
  <c r="B333" i="42"/>
  <c r="B285" i="42"/>
  <c r="B277" i="42"/>
  <c r="B127" i="42"/>
  <c r="B157" i="42"/>
  <c r="B167" i="42"/>
  <c r="B137" i="42"/>
  <c r="B147" i="42"/>
  <c r="B125" i="42"/>
  <c r="B172" i="39"/>
  <c r="B40" i="45"/>
  <c r="B49" i="45"/>
  <c r="B22" i="45"/>
  <c r="B31" i="45"/>
  <c r="B213" i="47"/>
  <c r="B218" i="47"/>
  <c r="P176" i="43" l="1"/>
  <c r="P174" i="43"/>
  <c r="P172" i="43"/>
  <c r="P170" i="43"/>
  <c r="O176" i="43"/>
  <c r="O174" i="43"/>
  <c r="O172" i="43"/>
  <c r="O170" i="43"/>
  <c r="O8" i="47" l="1"/>
  <c r="D47" i="49" l="1"/>
  <c r="D41" i="49"/>
  <c r="D34" i="49"/>
  <c r="D20" i="49"/>
  <c r="D49" i="49"/>
  <c r="D44" i="49"/>
  <c r="D37" i="49"/>
  <c r="D30" i="49"/>
  <c r="D23" i="49"/>
  <c r="D53" i="49"/>
  <c r="B47" i="49"/>
  <c r="B41" i="49"/>
  <c r="B34" i="49"/>
  <c r="B20" i="49"/>
  <c r="B49" i="49"/>
  <c r="B44" i="49"/>
  <c r="B37" i="49"/>
  <c r="B30" i="49"/>
  <c r="B23" i="49"/>
  <c r="B53" i="49"/>
  <c r="B12" i="43"/>
  <c r="B40" i="46" s="1"/>
  <c r="B58" i="46"/>
  <c r="B78" i="46" s="1"/>
  <c r="B9" i="46"/>
  <c r="B8" i="46"/>
  <c r="B28" i="46"/>
  <c r="B19" i="49" l="1"/>
  <c r="B308" i="42" l="1"/>
  <c r="B179" i="42"/>
  <c r="B16" i="42"/>
  <c r="B364" i="42"/>
  <c r="B268" i="39"/>
  <c r="B214" i="39"/>
  <c r="B199" i="39"/>
  <c r="B18" i="39"/>
  <c r="B12" i="37"/>
  <c r="B2" i="37"/>
  <c r="B2" i="43" s="1"/>
  <c r="B411" i="47"/>
  <c r="B322" i="47"/>
  <c r="B203" i="47"/>
  <c r="B93" i="47"/>
  <c r="B12" i="47"/>
  <c r="B8" i="49"/>
  <c r="B4" i="49"/>
  <c r="B136" i="48"/>
  <c r="B118" i="48"/>
  <c r="B90" i="48"/>
  <c r="B96" i="48"/>
  <c r="B84" i="48"/>
  <c r="D86" i="48"/>
  <c r="B25" i="48"/>
  <c r="B60" i="48"/>
  <c r="B5" i="48"/>
  <c r="B2" i="39" l="1"/>
  <c r="B2" i="42"/>
  <c r="C48" i="38"/>
  <c r="B297" i="39"/>
  <c r="B296" i="39"/>
  <c r="B295" i="39"/>
  <c r="B293" i="39"/>
  <c r="B292" i="39"/>
  <c r="B291" i="39"/>
  <c r="B289" i="39"/>
  <c r="B288" i="39"/>
  <c r="B287" i="39"/>
  <c r="B285" i="39"/>
  <c r="B284" i="39"/>
  <c r="B283" i="39"/>
  <c r="B281" i="39"/>
  <c r="B280" i="39"/>
  <c r="B279" i="39"/>
  <c r="O295" i="39"/>
  <c r="P295" i="39"/>
  <c r="O291" i="39"/>
  <c r="P291" i="39"/>
  <c r="O287" i="39"/>
  <c r="P287" i="39"/>
  <c r="O283" i="39"/>
  <c r="P283" i="39"/>
  <c r="O279" i="39"/>
  <c r="P279" i="39"/>
  <c r="B249" i="39"/>
  <c r="B248" i="39"/>
  <c r="B247" i="39"/>
  <c r="B245" i="39"/>
  <c r="B244" i="39"/>
  <c r="B243" i="39"/>
  <c r="B241" i="39"/>
  <c r="B240" i="39"/>
  <c r="B239" i="39"/>
  <c r="B237" i="39"/>
  <c r="B236" i="39"/>
  <c r="B235" i="39"/>
  <c r="C46" i="38" l="1"/>
  <c r="C45" i="38" s="1"/>
  <c r="C44" i="38" s="1"/>
  <c r="C43" i="38" s="1"/>
  <c r="C42" i="38" s="1"/>
  <c r="C41" i="38" s="1"/>
  <c r="C40" i="38" s="1"/>
  <c r="C39" i="38" s="1"/>
  <c r="B282" i="39"/>
  <c r="B286" i="39"/>
  <c r="B294" i="39"/>
  <c r="B290" i="39"/>
  <c r="B278" i="39"/>
  <c r="B72" i="48"/>
  <c r="B277" i="39" l="1"/>
  <c r="B276" i="39"/>
  <c r="B275" i="39"/>
  <c r="B54" i="39"/>
  <c r="C98" i="47" l="1"/>
  <c r="E98" i="47"/>
  <c r="G98" i="47"/>
  <c r="I98" i="47"/>
  <c r="K98" i="47"/>
  <c r="J35" i="47"/>
  <c r="G35" i="47"/>
  <c r="E35" i="47"/>
  <c r="C35" i="47"/>
  <c r="I33" i="46" l="1"/>
  <c r="H33" i="46"/>
  <c r="K118" i="42" l="1"/>
  <c r="K116" i="42"/>
  <c r="J118" i="42"/>
  <c r="J116" i="42"/>
  <c r="J113" i="42"/>
  <c r="K104" i="42"/>
  <c r="K100" i="42"/>
  <c r="J104" i="42"/>
  <c r="J100" i="42"/>
  <c r="K213" i="42"/>
  <c r="K215" i="42" s="1"/>
  <c r="K216" i="42" s="1"/>
  <c r="K220" i="42" s="1"/>
  <c r="J213" i="42"/>
  <c r="J215" i="42" s="1"/>
  <c r="J216" i="42" s="1"/>
  <c r="J220" i="42" s="1"/>
  <c r="K189" i="42"/>
  <c r="K191" i="42" s="1"/>
  <c r="J189" i="42"/>
  <c r="J191" i="42" s="1"/>
  <c r="K370" i="42"/>
  <c r="K21" i="42" s="1"/>
  <c r="K46" i="42" s="1"/>
  <c r="K90" i="42" s="1"/>
  <c r="K96" i="42" s="1"/>
  <c r="K102" i="42" s="1"/>
  <c r="K111" i="42" s="1"/>
  <c r="K185" i="42" s="1"/>
  <c r="J370" i="42"/>
  <c r="J21" i="42" s="1"/>
  <c r="J46" i="42" s="1"/>
  <c r="J90" i="42" s="1"/>
  <c r="J96" i="42" s="1"/>
  <c r="J102" i="42" s="1"/>
  <c r="J111" i="42" s="1"/>
  <c r="J185" i="42" s="1"/>
  <c r="K374" i="42"/>
  <c r="K378" i="42" s="1"/>
  <c r="J374" i="42"/>
  <c r="J378" i="42" s="1"/>
  <c r="K211" i="39"/>
  <c r="J211" i="39"/>
  <c r="K23" i="39"/>
  <c r="K48" i="39" s="1"/>
  <c r="K141" i="39" s="1"/>
  <c r="K204" i="39" s="1"/>
  <c r="H260" i="39" s="1"/>
  <c r="J23" i="39"/>
  <c r="J48" i="39" s="1"/>
  <c r="J141" i="39" s="1"/>
  <c r="J204" i="39" s="1"/>
  <c r="K42" i="39"/>
  <c r="K39" i="39"/>
  <c r="K33" i="39"/>
  <c r="K30" i="39"/>
  <c r="K27" i="39"/>
  <c r="J42" i="39"/>
  <c r="J39" i="39"/>
  <c r="J33" i="39"/>
  <c r="J30" i="39"/>
  <c r="J27" i="39"/>
  <c r="K19" i="37"/>
  <c r="J19" i="37"/>
  <c r="K29" i="37"/>
  <c r="J25" i="37"/>
  <c r="J53" i="39" s="1"/>
  <c r="J107" i="42" l="1"/>
  <c r="H47" i="55"/>
  <c r="H49" i="55" s="1"/>
  <c r="K107" i="42"/>
  <c r="I47" i="55"/>
  <c r="I49" i="55" s="1"/>
  <c r="J54" i="39"/>
  <c r="H35" i="46"/>
  <c r="T16" i="53" s="1"/>
  <c r="J192" i="42"/>
  <c r="J196" i="42" s="1"/>
  <c r="K192" i="42"/>
  <c r="K196" i="42" s="1"/>
  <c r="J115" i="42"/>
  <c r="J117" i="42"/>
  <c r="K115" i="42"/>
  <c r="K117" i="42"/>
  <c r="J114" i="42"/>
  <c r="K113" i="42"/>
  <c r="K114" i="42"/>
  <c r="J29" i="37"/>
  <c r="K54" i="39"/>
  <c r="J209" i="42"/>
  <c r="J233" i="42" s="1"/>
  <c r="K209" i="42"/>
  <c r="K233" i="42" s="1"/>
  <c r="K27" i="37"/>
  <c r="K30" i="37" s="1"/>
  <c r="J27" i="37"/>
  <c r="J30" i="37" s="1"/>
  <c r="B309" i="39"/>
  <c r="B232" i="39"/>
  <c r="E38" i="39"/>
  <c r="E32" i="39"/>
  <c r="E29" i="39"/>
  <c r="P13" i="46" l="1"/>
  <c r="O13" i="46"/>
  <c r="B226" i="47"/>
  <c r="AD110" i="51" l="1"/>
  <c r="AC110" i="51"/>
  <c r="AB110" i="51"/>
  <c r="AA110" i="51"/>
  <c r="Z110" i="51"/>
  <c r="Y110" i="51"/>
  <c r="X110" i="51"/>
  <c r="AD109" i="51"/>
  <c r="AC109" i="51"/>
  <c r="AB109" i="51"/>
  <c r="AA109" i="51"/>
  <c r="Z109" i="51"/>
  <c r="Y109" i="51"/>
  <c r="X109" i="51"/>
  <c r="AD108" i="51"/>
  <c r="AC108" i="51"/>
  <c r="AB108" i="51"/>
  <c r="AA108" i="51"/>
  <c r="Z108" i="51"/>
  <c r="Y108" i="51"/>
  <c r="X108" i="51"/>
  <c r="AD107" i="51"/>
  <c r="AC107" i="51"/>
  <c r="AB107" i="51"/>
  <c r="AA107" i="51"/>
  <c r="Z107" i="51"/>
  <c r="Y107" i="51"/>
  <c r="X107" i="51"/>
  <c r="AD106" i="51"/>
  <c r="AC106" i="51"/>
  <c r="AB106" i="51"/>
  <c r="AA106" i="51"/>
  <c r="Z106" i="51"/>
  <c r="Y106" i="51"/>
  <c r="X106" i="51"/>
  <c r="W110" i="51"/>
  <c r="W109" i="51"/>
  <c r="W108" i="51"/>
  <c r="W107" i="51"/>
  <c r="W106" i="51"/>
  <c r="V110" i="51"/>
  <c r="U110" i="51"/>
  <c r="T110" i="51"/>
  <c r="S110" i="51"/>
  <c r="R110" i="51"/>
  <c r="Q110" i="51"/>
  <c r="P110" i="51"/>
  <c r="V109" i="51"/>
  <c r="U109" i="51"/>
  <c r="T109" i="51"/>
  <c r="S109" i="51"/>
  <c r="R109" i="51"/>
  <c r="Q109" i="51"/>
  <c r="P109" i="51"/>
  <c r="V108" i="51"/>
  <c r="U108" i="51"/>
  <c r="T108" i="51"/>
  <c r="S108" i="51"/>
  <c r="R108" i="51"/>
  <c r="Q108" i="51"/>
  <c r="P108" i="51"/>
  <c r="V107" i="51"/>
  <c r="U107" i="51"/>
  <c r="T107" i="51"/>
  <c r="S107" i="51"/>
  <c r="R107" i="51"/>
  <c r="Q107" i="51"/>
  <c r="P107" i="51"/>
  <c r="V106" i="51"/>
  <c r="U106" i="51"/>
  <c r="T106" i="51"/>
  <c r="S106" i="51"/>
  <c r="R106" i="51"/>
  <c r="Q106" i="51"/>
  <c r="P106" i="51"/>
  <c r="O110" i="51"/>
  <c r="O109" i="51"/>
  <c r="O108" i="51"/>
  <c r="O107" i="51"/>
  <c r="O106" i="51"/>
  <c r="L110" i="51"/>
  <c r="L109" i="51"/>
  <c r="L108" i="51"/>
  <c r="L107" i="51"/>
  <c r="L106" i="51"/>
  <c r="J110" i="51"/>
  <c r="J109" i="51"/>
  <c r="J108" i="51"/>
  <c r="J107" i="51"/>
  <c r="F8" i="51" l="1"/>
  <c r="N101" i="51"/>
  <c r="M101" i="51"/>
  <c r="N100" i="51"/>
  <c r="M100" i="51"/>
  <c r="N99" i="51"/>
  <c r="K99" i="51" s="1"/>
  <c r="M99" i="51"/>
  <c r="J99" i="51" s="1"/>
  <c r="N98" i="51"/>
  <c r="K98" i="51" s="1"/>
  <c r="M98" i="51"/>
  <c r="J98" i="51" s="1"/>
  <c r="N97" i="51"/>
  <c r="M97" i="51"/>
  <c r="L98" i="51"/>
  <c r="I98" i="51" s="1"/>
  <c r="L99" i="51"/>
  <c r="I99" i="51" s="1"/>
  <c r="L100" i="51"/>
  <c r="L101" i="51"/>
  <c r="L97" i="51"/>
  <c r="L96" i="51"/>
  <c r="M96" i="51"/>
  <c r="N96" i="51"/>
  <c r="I97" i="51" l="1"/>
  <c r="Y89" i="51"/>
  <c r="Z89" i="51"/>
  <c r="X89" i="51"/>
  <c r="U92" i="51"/>
  <c r="T92" i="51"/>
  <c r="U91" i="51"/>
  <c r="T91" i="51"/>
  <c r="U90" i="51"/>
  <c r="T90" i="51"/>
  <c r="U89" i="51"/>
  <c r="T89" i="51"/>
  <c r="S92" i="51"/>
  <c r="S91" i="51"/>
  <c r="S90" i="51"/>
  <c r="S89" i="51"/>
  <c r="R92" i="51"/>
  <c r="Q92" i="51"/>
  <c r="R91" i="51"/>
  <c r="Q91" i="51"/>
  <c r="R90" i="51"/>
  <c r="Q90" i="51"/>
  <c r="R89" i="51"/>
  <c r="Q89" i="51"/>
  <c r="P92" i="51"/>
  <c r="P91" i="51"/>
  <c r="P90" i="51"/>
  <c r="P89" i="51"/>
  <c r="L90" i="51"/>
  <c r="L91" i="51" s="1"/>
  <c r="L92" i="51" s="1"/>
  <c r="E91" i="51"/>
  <c r="E92" i="51" s="1"/>
  <c r="E90" i="51"/>
  <c r="I90" i="51"/>
  <c r="I91" i="51" s="1"/>
  <c r="I92" i="51" s="1"/>
  <c r="J90" i="51"/>
  <c r="J91" i="51" s="1"/>
  <c r="J92" i="51" s="1"/>
  <c r="D89" i="51"/>
  <c r="D90" i="51" l="1"/>
  <c r="D91" i="51" s="1"/>
  <c r="D92" i="51" s="1"/>
  <c r="D97" i="51"/>
  <c r="D106" i="51" s="1"/>
  <c r="D107" i="51" s="1"/>
  <c r="D108" i="51" s="1"/>
  <c r="D109" i="51" s="1"/>
  <c r="D110" i="51" s="1"/>
  <c r="M41" i="51"/>
  <c r="L41" i="51"/>
  <c r="M40" i="51"/>
  <c r="L40" i="51"/>
  <c r="M39" i="51"/>
  <c r="L39" i="51"/>
  <c r="M38" i="51"/>
  <c r="L38" i="51"/>
  <c r="K41" i="51"/>
  <c r="K40" i="51"/>
  <c r="K39" i="51"/>
  <c r="K38" i="51"/>
  <c r="H41" i="51"/>
  <c r="G41" i="51"/>
  <c r="H40" i="51"/>
  <c r="G40" i="51"/>
  <c r="H39" i="51"/>
  <c r="G39" i="51"/>
  <c r="H38" i="51"/>
  <c r="G38" i="51"/>
  <c r="F41" i="51"/>
  <c r="F40" i="51"/>
  <c r="F39" i="51"/>
  <c r="F38" i="51"/>
  <c r="R8" i="51"/>
  <c r="S8" i="51"/>
  <c r="R9" i="51"/>
  <c r="S9" i="51"/>
  <c r="R11" i="51"/>
  <c r="S11" i="51"/>
  <c r="R12" i="51"/>
  <c r="S12" i="51"/>
  <c r="R13" i="51"/>
  <c r="S13" i="51"/>
  <c r="Q13" i="51"/>
  <c r="Q12" i="51"/>
  <c r="Q11" i="51"/>
  <c r="Q9" i="51"/>
  <c r="Q8" i="51"/>
  <c r="M32" i="51"/>
  <c r="N32" i="51"/>
  <c r="M33" i="51"/>
  <c r="N33" i="51"/>
  <c r="M34" i="51"/>
  <c r="N34" i="51"/>
  <c r="L34" i="51"/>
  <c r="L33" i="51"/>
  <c r="L32" i="51"/>
  <c r="G32" i="51"/>
  <c r="H32" i="51"/>
  <c r="G33" i="51"/>
  <c r="H33" i="51"/>
  <c r="G34" i="51"/>
  <c r="H34" i="51"/>
  <c r="F34" i="51"/>
  <c r="F33" i="51"/>
  <c r="F32" i="51"/>
  <c r="M29" i="51"/>
  <c r="N29" i="51"/>
  <c r="L29" i="51"/>
  <c r="G29" i="51"/>
  <c r="H29" i="51"/>
  <c r="F29" i="51"/>
  <c r="M27" i="51"/>
  <c r="N27" i="51"/>
  <c r="L27" i="51"/>
  <c r="G27" i="51"/>
  <c r="H27" i="51"/>
  <c r="F27" i="51"/>
  <c r="M23" i="51"/>
  <c r="N23" i="51"/>
  <c r="L23" i="51"/>
  <c r="G23" i="51"/>
  <c r="H23" i="51"/>
  <c r="F23" i="51"/>
  <c r="G20" i="51"/>
  <c r="H20" i="51"/>
  <c r="M20" i="51"/>
  <c r="N20" i="51"/>
  <c r="L20" i="51"/>
  <c r="F20" i="51"/>
  <c r="M11" i="51"/>
  <c r="N11" i="51"/>
  <c r="M12" i="51"/>
  <c r="N12" i="51"/>
  <c r="M13" i="51"/>
  <c r="N13" i="51"/>
  <c r="M14" i="51"/>
  <c r="N14" i="51"/>
  <c r="M15" i="51"/>
  <c r="N15" i="51"/>
  <c r="L15" i="51"/>
  <c r="L14" i="51"/>
  <c r="L13" i="51"/>
  <c r="L11" i="51"/>
  <c r="L12" i="51"/>
  <c r="G11" i="51"/>
  <c r="J100" i="51" s="1"/>
  <c r="H11" i="51"/>
  <c r="K100" i="51" s="1"/>
  <c r="G12" i="51"/>
  <c r="J101" i="51" s="1"/>
  <c r="H12" i="51"/>
  <c r="K101" i="51" s="1"/>
  <c r="G13" i="51"/>
  <c r="H13" i="51"/>
  <c r="G14" i="51"/>
  <c r="H14" i="51"/>
  <c r="G15" i="51"/>
  <c r="H15" i="51"/>
  <c r="F15" i="51"/>
  <c r="F14" i="51"/>
  <c r="F13" i="51"/>
  <c r="F12" i="51"/>
  <c r="I101" i="51" s="1"/>
  <c r="F11" i="51"/>
  <c r="I100" i="51" s="1"/>
  <c r="F85" i="51" l="1"/>
  <c r="G85" i="51"/>
  <c r="H85" i="51"/>
  <c r="I85" i="51"/>
  <c r="J85" i="51"/>
  <c r="E85" i="51"/>
  <c r="F79" i="51"/>
  <c r="G79" i="51"/>
  <c r="F80" i="51"/>
  <c r="G80" i="51"/>
  <c r="E80" i="51"/>
  <c r="E79" i="51"/>
  <c r="F71" i="51" l="1"/>
  <c r="G71" i="51"/>
  <c r="E71" i="51"/>
  <c r="F65" i="51"/>
  <c r="G65" i="51"/>
  <c r="F66" i="51"/>
  <c r="G66" i="51"/>
  <c r="E66" i="51"/>
  <c r="E65" i="51"/>
  <c r="F60" i="51"/>
  <c r="G60" i="51"/>
  <c r="F61" i="51"/>
  <c r="G61" i="51"/>
  <c r="E61" i="51"/>
  <c r="E60" i="51"/>
  <c r="F56" i="51"/>
  <c r="G56" i="51"/>
  <c r="E56" i="51"/>
  <c r="F52" i="51"/>
  <c r="G52" i="51"/>
  <c r="E52" i="51"/>
  <c r="F50" i="51"/>
  <c r="G50" i="51"/>
  <c r="E50" i="51"/>
  <c r="M45" i="51"/>
  <c r="S45" i="51" s="1"/>
  <c r="N45" i="51"/>
  <c r="T45" i="51" s="1"/>
  <c r="M46" i="51"/>
  <c r="S46" i="51" s="1"/>
  <c r="N46" i="51"/>
  <c r="T46" i="51" s="1"/>
  <c r="M47" i="51"/>
  <c r="S47" i="51" s="1"/>
  <c r="N47" i="51"/>
  <c r="T47" i="51" s="1"/>
  <c r="M48" i="51"/>
  <c r="S48" i="51" s="1"/>
  <c r="N48" i="51"/>
  <c r="T48" i="51" s="1"/>
  <c r="M49" i="51"/>
  <c r="S49" i="51" s="1"/>
  <c r="N49" i="51"/>
  <c r="T49" i="51" s="1"/>
  <c r="M50" i="51"/>
  <c r="S50" i="51" s="1"/>
  <c r="N50" i="51"/>
  <c r="T50" i="51" s="1"/>
  <c r="L50" i="51"/>
  <c r="R50" i="51" s="1"/>
  <c r="L48" i="51"/>
  <c r="R48" i="51" s="1"/>
  <c r="L46" i="51"/>
  <c r="R46" i="51" s="1"/>
  <c r="L49" i="51"/>
  <c r="R49" i="51" s="1"/>
  <c r="L47" i="51"/>
  <c r="R47" i="51" s="1"/>
  <c r="L45" i="51"/>
  <c r="R45" i="51" s="1"/>
  <c r="M8" i="51" l="1"/>
  <c r="N8" i="51"/>
  <c r="L8" i="51"/>
  <c r="G8" i="51"/>
  <c r="J97" i="51" s="1"/>
  <c r="H8" i="51"/>
  <c r="K97" i="51" s="1"/>
  <c r="F45" i="51"/>
  <c r="G45" i="51"/>
  <c r="E45" i="51"/>
  <c r="N107" i="51" l="1"/>
  <c r="N108" i="51" s="1"/>
  <c r="N109" i="51" s="1"/>
  <c r="N110" i="51" s="1"/>
  <c r="F98" i="51"/>
  <c r="F99" i="51" s="1"/>
  <c r="F100" i="51" s="1"/>
  <c r="F101" i="51" s="1"/>
  <c r="D98" i="51"/>
  <c r="D99" i="51" s="1"/>
  <c r="D100" i="51" s="1"/>
  <c r="D101" i="51" s="1"/>
  <c r="P15" i="43" l="1"/>
  <c r="P331" i="42"/>
  <c r="P122" i="42"/>
  <c r="P404" i="42"/>
  <c r="P124" i="39"/>
  <c r="P84" i="39"/>
  <c r="P70" i="39"/>
  <c r="P60" i="37"/>
  <c r="P414" i="47"/>
  <c r="P399" i="47"/>
  <c r="P386" i="47"/>
  <c r="P325" i="47"/>
  <c r="P254" i="47"/>
  <c r="P191" i="47"/>
  <c r="O15" i="43"/>
  <c r="O331" i="42"/>
  <c r="O404" i="42"/>
  <c r="O84" i="39"/>
  <c r="O70" i="39"/>
  <c r="O414" i="47"/>
  <c r="O366" i="47"/>
  <c r="O352" i="47"/>
  <c r="O325" i="47"/>
  <c r="O254" i="47"/>
  <c r="O60" i="47"/>
  <c r="B60" i="47" l="1"/>
  <c r="G213" i="42"/>
  <c r="G215" i="42" s="1"/>
  <c r="G216" i="42" s="1"/>
  <c r="G220" i="42" s="1"/>
  <c r="G189" i="42"/>
  <c r="G191" i="42" s="1"/>
  <c r="I374" i="42"/>
  <c r="I378" i="42" s="1"/>
  <c r="H374" i="42"/>
  <c r="H378" i="42" s="1"/>
  <c r="G374" i="42"/>
  <c r="G378" i="42" s="1"/>
  <c r="E297" i="39"/>
  <c r="E293" i="39"/>
  <c r="E289" i="39"/>
  <c r="E285" i="39"/>
  <c r="E281" i="39"/>
  <c r="E277" i="39"/>
  <c r="E249" i="39"/>
  <c r="E245" i="39"/>
  <c r="E241" i="39"/>
  <c r="E237" i="39"/>
  <c r="G233" i="39"/>
  <c r="F233" i="39"/>
  <c r="E233" i="39"/>
  <c r="G192" i="42" l="1"/>
  <c r="G196" i="42" s="1"/>
  <c r="B150" i="48" l="1"/>
  <c r="E150" i="48"/>
  <c r="J150" i="48"/>
  <c r="J149" i="48"/>
  <c r="L297" i="39" l="1"/>
  <c r="K297" i="39"/>
  <c r="J297" i="39"/>
  <c r="I297" i="39"/>
  <c r="H297" i="39"/>
  <c r="G297" i="39"/>
  <c r="F297" i="39"/>
  <c r="O275" i="39" l="1"/>
  <c r="P275" i="39"/>
  <c r="L273" i="39" l="1"/>
  <c r="B208" i="47"/>
  <c r="B206" i="47"/>
  <c r="P217" i="39" l="1"/>
  <c r="O217" i="39"/>
  <c r="K273" i="39"/>
  <c r="J273" i="39" l="1"/>
  <c r="B124" i="39"/>
  <c r="I273" i="39" l="1"/>
  <c r="H273" i="39" l="1"/>
  <c r="P31" i="39"/>
  <c r="O31" i="39"/>
  <c r="P28" i="39"/>
  <c r="O28" i="39"/>
  <c r="G273" i="39" l="1"/>
  <c r="F273" i="39" l="1"/>
  <c r="E273" i="39" l="1"/>
  <c r="F22" i="37" l="1"/>
  <c r="B22" i="37"/>
  <c r="B48" i="42" s="1"/>
  <c r="B194" i="43"/>
  <c r="B240" i="43" s="1"/>
  <c r="B192" i="43"/>
  <c r="B238" i="43" s="1"/>
  <c r="B190" i="43"/>
  <c r="B236" i="43" s="1"/>
  <c r="B188" i="43"/>
  <c r="B234" i="43" s="1"/>
  <c r="B186" i="43"/>
  <c r="B232" i="43" s="1"/>
  <c r="B180" i="43"/>
  <c r="B226" i="43" s="1"/>
  <c r="B179" i="43"/>
  <c r="B225" i="43" s="1"/>
  <c r="B176" i="43"/>
  <c r="B222" i="43" s="1"/>
  <c r="B174" i="43"/>
  <c r="B220" i="43" s="1"/>
  <c r="B172" i="43"/>
  <c r="B218" i="43" s="1"/>
  <c r="B170" i="43"/>
  <c r="B216" i="43" s="1"/>
  <c r="B168" i="43"/>
  <c r="B214" i="43" s="1"/>
  <c r="B164" i="43"/>
  <c r="B210" i="43" s="1"/>
  <c r="B163" i="43"/>
  <c r="B209" i="43" s="1"/>
  <c r="B160" i="43"/>
  <c r="B206" i="43" s="1"/>
  <c r="B158" i="43"/>
  <c r="B204" i="43" s="1"/>
  <c r="B156" i="43"/>
  <c r="B202" i="43" s="1"/>
  <c r="B154" i="43"/>
  <c r="B200" i="43" s="1"/>
  <c r="B153" i="43"/>
  <c r="B199" i="43" s="1"/>
  <c r="B152" i="43"/>
  <c r="B198" i="43" s="1"/>
  <c r="B57" i="46" l="1"/>
  <c r="B77" i="46" s="1"/>
  <c r="B50" i="46"/>
  <c r="B70" i="46" s="1"/>
  <c r="B47" i="46"/>
  <c r="B67" i="46" s="1"/>
  <c r="B51" i="46"/>
  <c r="B71" i="46" s="1"/>
  <c r="B62" i="46"/>
  <c r="B82" i="46" s="1"/>
  <c r="B45" i="46"/>
  <c r="B65" i="46" s="1"/>
  <c r="B55" i="46"/>
  <c r="B75" i="46" s="1"/>
  <c r="B46" i="46"/>
  <c r="B66" i="46" s="1"/>
  <c r="F23" i="37"/>
  <c r="B23" i="37"/>
  <c r="B428" i="47" l="1"/>
  <c r="B414" i="47" l="1"/>
  <c r="B15" i="49" l="1"/>
  <c r="B12" i="49"/>
  <c r="B10" i="49"/>
  <c r="L8" i="49"/>
  <c r="K8" i="49"/>
  <c r="J8" i="49"/>
  <c r="I8" i="49"/>
  <c r="H8" i="49"/>
  <c r="G8" i="49"/>
  <c r="F8" i="49"/>
  <c r="E8" i="49"/>
  <c r="D8" i="49"/>
  <c r="E149" i="48"/>
  <c r="B149" i="48"/>
  <c r="B147" i="48"/>
  <c r="L145" i="48"/>
  <c r="K145" i="48"/>
  <c r="J145" i="48"/>
  <c r="I145" i="48"/>
  <c r="H145" i="48"/>
  <c r="G145" i="48"/>
  <c r="E145" i="48"/>
  <c r="D145" i="48"/>
  <c r="C145" i="48"/>
  <c r="B140" i="48"/>
  <c r="B142" i="48"/>
  <c r="B105" i="48"/>
  <c r="B138" i="48"/>
  <c r="L136" i="48"/>
  <c r="K136" i="48"/>
  <c r="J136" i="48"/>
  <c r="I136" i="48"/>
  <c r="H136" i="48"/>
  <c r="G136" i="48"/>
  <c r="E136" i="48"/>
  <c r="D136" i="48"/>
  <c r="C136" i="48"/>
  <c r="L84" i="48"/>
  <c r="K84" i="48"/>
  <c r="J84" i="48"/>
  <c r="I84" i="48"/>
  <c r="H84" i="48"/>
  <c r="G84" i="48"/>
  <c r="E84" i="48"/>
  <c r="D84" i="48"/>
  <c r="C84" i="48"/>
  <c r="B4" i="39" l="1"/>
  <c r="B4" i="47"/>
  <c r="B4" i="37"/>
  <c r="B4" i="43"/>
  <c r="B4" i="45"/>
  <c r="B4" i="46"/>
  <c r="B4" i="42"/>
  <c r="B4" i="44"/>
  <c r="B27" i="48"/>
  <c r="L25" i="48"/>
  <c r="K25" i="48"/>
  <c r="J25" i="48"/>
  <c r="I25" i="48"/>
  <c r="H25" i="48"/>
  <c r="G25" i="48"/>
  <c r="E25" i="48"/>
  <c r="D25" i="48"/>
  <c r="C25" i="48"/>
  <c r="B92" i="48"/>
  <c r="L90" i="48"/>
  <c r="K90" i="48"/>
  <c r="J90" i="48"/>
  <c r="I90" i="48"/>
  <c r="H90" i="48"/>
  <c r="G90" i="48"/>
  <c r="E90" i="48"/>
  <c r="D90" i="48"/>
  <c r="C90" i="48"/>
  <c r="B133" i="48" l="1"/>
  <c r="B128" i="48" l="1"/>
  <c r="B120" i="48"/>
  <c r="B126" i="48"/>
  <c r="B124" i="48"/>
  <c r="B122" i="48"/>
  <c r="B67" i="48" l="1"/>
  <c r="D64" i="48"/>
  <c r="B65" i="48"/>
  <c r="B62" i="48"/>
  <c r="B106" i="48" l="1"/>
  <c r="B102" i="48"/>
  <c r="B100" i="48"/>
  <c r="B98" i="48"/>
  <c r="B254" i="47" l="1"/>
  <c r="B399" i="47"/>
  <c r="B240" i="47"/>
  <c r="B309" i="47" l="1"/>
  <c r="B296" i="47"/>
  <c r="B283" i="47" l="1"/>
  <c r="B270" i="47" l="1"/>
  <c r="B267" i="47"/>
  <c r="B338" i="47"/>
  <c r="B386" i="47" l="1"/>
  <c r="B384" i="47"/>
  <c r="B383" i="47"/>
  <c r="B382" i="47"/>
  <c r="B380" i="47"/>
  <c r="B366" i="47" l="1"/>
  <c r="B352" i="47"/>
  <c r="B325" i="47"/>
  <c r="B191" i="47" l="1"/>
  <c r="B178" i="47"/>
  <c r="B157" i="47"/>
  <c r="B96" i="47" l="1"/>
  <c r="B73" i="47"/>
  <c r="B28" i="47"/>
  <c r="B15" i="47"/>
  <c r="B10" i="47"/>
  <c r="B9" i="47"/>
  <c r="B8" i="47"/>
  <c r="B15" i="46"/>
  <c r="B14" i="46"/>
  <c r="B13" i="46"/>
  <c r="B12" i="46"/>
  <c r="B30" i="46"/>
  <c r="E33" i="46"/>
  <c r="F33" i="46" s="1"/>
  <c r="G33" i="46" s="1"/>
  <c r="B35" i="46"/>
  <c r="B9" i="43" l="1"/>
  <c r="B9" i="39"/>
  <c r="B9" i="37"/>
  <c r="B9" i="42"/>
  <c r="B8" i="43"/>
  <c r="B8" i="39"/>
  <c r="B8" i="42"/>
  <c r="B8" i="37"/>
  <c r="B42" i="46"/>
  <c r="B13" i="45"/>
  <c r="B10" i="45"/>
  <c r="B8" i="45"/>
  <c r="B10" i="44"/>
  <c r="B8" i="44"/>
  <c r="P6" i="44"/>
  <c r="O6" i="44"/>
  <c r="O5" i="44"/>
  <c r="B2" i="44"/>
  <c r="B147" i="43" l="1"/>
  <c r="B143" i="43"/>
  <c r="B142" i="43"/>
  <c r="B139" i="43"/>
  <c r="B136" i="43" l="1"/>
  <c r="B296" i="42"/>
  <c r="B73" i="42" l="1"/>
  <c r="B132" i="43" l="1"/>
  <c r="B18" i="43" l="1"/>
  <c r="B15" i="43"/>
  <c r="B314" i="42" l="1"/>
  <c r="E313" i="42"/>
  <c r="F313" i="42" l="1"/>
  <c r="G313" i="42" s="1"/>
  <c r="H313" i="42" s="1"/>
  <c r="I313" i="42" s="1"/>
  <c r="J313" i="42" s="1"/>
  <c r="B269" i="42"/>
  <c r="B195" i="42" l="1"/>
  <c r="B219" i="42" s="1"/>
  <c r="B192" i="42"/>
  <c r="B216" i="42" s="1"/>
  <c r="B209" i="42" l="1"/>
  <c r="B196" i="42"/>
  <c r="B220" i="42" s="1"/>
  <c r="B194" i="42"/>
  <c r="B218" i="42" s="1"/>
  <c r="B193" i="42"/>
  <c r="B217" i="42" s="1"/>
  <c r="B191" i="42"/>
  <c r="B215" i="42" s="1"/>
  <c r="B190" i="42"/>
  <c r="B214" i="42" s="1"/>
  <c r="B189" i="42"/>
  <c r="B213" i="42" s="1"/>
  <c r="B188" i="42"/>
  <c r="B212" i="42" s="1"/>
  <c r="B187" i="42"/>
  <c r="B211" i="42" s="1"/>
  <c r="G185" i="42"/>
  <c r="B185" i="42"/>
  <c r="G125" i="42"/>
  <c r="E125" i="42"/>
  <c r="D125" i="42"/>
  <c r="C125" i="42"/>
  <c r="H118" i="42"/>
  <c r="I118" i="42"/>
  <c r="G118" i="42"/>
  <c r="H116" i="42"/>
  <c r="I116" i="42"/>
  <c r="G116" i="42"/>
  <c r="F114" i="42"/>
  <c r="F113" i="42"/>
  <c r="B118" i="42"/>
  <c r="B117" i="42"/>
  <c r="B116" i="42"/>
  <c r="B115" i="42"/>
  <c r="G209" i="42" l="1"/>
  <c r="H185" i="42"/>
  <c r="I185" i="42" l="1"/>
  <c r="H209" i="42"/>
  <c r="B114" i="42"/>
  <c r="B113" i="42"/>
  <c r="G111" i="42"/>
  <c r="B109" i="42"/>
  <c r="B105" i="42"/>
  <c r="H104" i="42"/>
  <c r="F47" i="55" s="1"/>
  <c r="F49" i="55" s="1"/>
  <c r="I104" i="42"/>
  <c r="G47" i="55" s="1"/>
  <c r="G49" i="55" s="1"/>
  <c r="G104" i="42"/>
  <c r="E47" i="55" s="1"/>
  <c r="E49" i="55" s="1"/>
  <c r="B104" i="42"/>
  <c r="G102" i="42"/>
  <c r="B102" i="42"/>
  <c r="I100" i="42"/>
  <c r="H100" i="42"/>
  <c r="G100" i="42"/>
  <c r="G96" i="42"/>
  <c r="B96" i="42"/>
  <c r="B88" i="42"/>
  <c r="B94" i="42"/>
  <c r="B93" i="42"/>
  <c r="B92" i="42"/>
  <c r="B98" i="42" s="1"/>
  <c r="G90" i="42"/>
  <c r="H90" i="42" s="1"/>
  <c r="I90" i="42" s="1"/>
  <c r="B90" i="42"/>
  <c r="B86" i="42"/>
  <c r="B122" i="42"/>
  <c r="B182" i="42"/>
  <c r="B267" i="42"/>
  <c r="B311" i="42"/>
  <c r="I115" i="42" l="1"/>
  <c r="I117" i="42"/>
  <c r="G117" i="42"/>
  <c r="G115" i="42"/>
  <c r="H115" i="42"/>
  <c r="H117" i="42"/>
  <c r="I209" i="42"/>
  <c r="B106" i="42"/>
  <c r="B99" i="42"/>
  <c r="B107" i="42"/>
  <c r="B100" i="42"/>
  <c r="G107" i="42"/>
  <c r="E70" i="51"/>
  <c r="I107" i="42"/>
  <c r="G70" i="51"/>
  <c r="H107" i="42"/>
  <c r="F70" i="51"/>
  <c r="H111" i="42"/>
  <c r="I111" i="42" s="1"/>
  <c r="H102" i="42"/>
  <c r="I102" i="42" s="1"/>
  <c r="H96" i="42"/>
  <c r="I96" i="42" s="1"/>
  <c r="I213" i="42"/>
  <c r="I215" i="42" s="1"/>
  <c r="I216" i="42" s="1"/>
  <c r="I220" i="42" s="1"/>
  <c r="H213" i="42"/>
  <c r="H215" i="42" s="1"/>
  <c r="H216" i="42" s="1"/>
  <c r="H220" i="42" s="1"/>
  <c r="G46" i="42"/>
  <c r="B46" i="42"/>
  <c r="H189" i="42"/>
  <c r="H191" i="42" s="1"/>
  <c r="I189" i="42"/>
  <c r="I191" i="42" l="1"/>
  <c r="H192" i="42"/>
  <c r="H46" i="42"/>
  <c r="I46" i="42" s="1"/>
  <c r="I192" i="42" l="1"/>
  <c r="I196" i="42" s="1"/>
  <c r="H196" i="42"/>
  <c r="B31" i="42"/>
  <c r="B56" i="42" s="1"/>
  <c r="B32" i="42"/>
  <c r="B57" i="42" s="1"/>
  <c r="P27" i="42" l="1"/>
  <c r="O27" i="42"/>
  <c r="P26" i="42"/>
  <c r="O26" i="42"/>
  <c r="P25" i="42"/>
  <c r="O25" i="42"/>
  <c r="B24" i="42"/>
  <c r="B49" i="42" s="1"/>
  <c r="B21" i="42" l="1"/>
  <c r="B33" i="42"/>
  <c r="B58" i="42" s="1"/>
  <c r="B30" i="42"/>
  <c r="B55" i="42" s="1"/>
  <c r="B28" i="42"/>
  <c r="B53" i="42" s="1"/>
  <c r="B27" i="42"/>
  <c r="B52" i="42" s="1"/>
  <c r="B26" i="42"/>
  <c r="B51" i="42" s="1"/>
  <c r="B25" i="42"/>
  <c r="B50" i="42" s="1"/>
  <c r="G21" i="42"/>
  <c r="B19" i="42"/>
  <c r="B404" i="42"/>
  <c r="B378" i="42"/>
  <c r="B377" i="42"/>
  <c r="B376" i="42"/>
  <c r="B374" i="42"/>
  <c r="B373" i="42"/>
  <c r="B331" i="42"/>
  <c r="B318" i="42"/>
  <c r="B375" i="42"/>
  <c r="B372" i="42"/>
  <c r="G370" i="42"/>
  <c r="B367" i="42"/>
  <c r="B13" i="42"/>
  <c r="E42" i="39"/>
  <c r="E40" i="39"/>
  <c r="B40" i="39"/>
  <c r="E39" i="39"/>
  <c r="E37" i="39"/>
  <c r="B37" i="39"/>
  <c r="B38" i="46" s="1"/>
  <c r="E33" i="39"/>
  <c r="E31" i="39"/>
  <c r="B303" i="39"/>
  <c r="B299" i="39"/>
  <c r="B271" i="39"/>
  <c r="B251" i="39"/>
  <c r="B233" i="39"/>
  <c r="B231" i="39"/>
  <c r="B227" i="39"/>
  <c r="B223" i="39"/>
  <c r="B222" i="39"/>
  <c r="B221" i="39"/>
  <c r="B220" i="39"/>
  <c r="B219" i="39"/>
  <c r="B211" i="39"/>
  <c r="B210" i="39"/>
  <c r="B209" i="39"/>
  <c r="B208" i="39"/>
  <c r="B207" i="39"/>
  <c r="B206" i="39"/>
  <c r="B202" i="39"/>
  <c r="B186" i="39"/>
  <c r="B158" i="39"/>
  <c r="D143" i="39"/>
  <c r="B139" i="39"/>
  <c r="B111" i="39"/>
  <c r="B98" i="39"/>
  <c r="B57" i="39"/>
  <c r="F54" i="39"/>
  <c r="B46" i="39"/>
  <c r="E30" i="39"/>
  <c r="E28" i="39"/>
  <c r="E27" i="39"/>
  <c r="E25" i="39"/>
  <c r="B25" i="39"/>
  <c r="B21" i="39"/>
  <c r="B16" i="39"/>
  <c r="B14" i="42" s="1"/>
  <c r="B15" i="39"/>
  <c r="B14" i="39"/>
  <c r="B13" i="39"/>
  <c r="B12" i="39"/>
  <c r="B12" i="42" s="1"/>
  <c r="B274" i="39"/>
  <c r="H21" i="42" l="1"/>
  <c r="I21" i="42" s="1"/>
  <c r="H370" i="42"/>
  <c r="I370" i="42" s="1"/>
  <c r="B217" i="39" l="1"/>
  <c r="B246" i="39"/>
  <c r="B242" i="39"/>
  <c r="B238" i="39"/>
  <c r="B234" i="39"/>
  <c r="B230" i="39"/>
  <c r="K233" i="39" l="1"/>
  <c r="H233" i="39"/>
  <c r="I233" i="39"/>
  <c r="J233" i="39"/>
  <c r="L233" i="39"/>
  <c r="L293" i="39"/>
  <c r="K293" i="39"/>
  <c r="J293" i="39"/>
  <c r="I293" i="39"/>
  <c r="H293" i="39"/>
  <c r="G293" i="39"/>
  <c r="F293" i="39"/>
  <c r="L289" i="39"/>
  <c r="K289" i="39"/>
  <c r="J289" i="39"/>
  <c r="I289" i="39"/>
  <c r="H289" i="39"/>
  <c r="G289" i="39"/>
  <c r="F289" i="39"/>
  <c r="L285" i="39"/>
  <c r="K285" i="39"/>
  <c r="J285" i="39"/>
  <c r="I285" i="39"/>
  <c r="H285" i="39"/>
  <c r="G285" i="39"/>
  <c r="F285" i="39"/>
  <c r="L281" i="39"/>
  <c r="K281" i="39"/>
  <c r="J281" i="39"/>
  <c r="I281" i="39"/>
  <c r="H281" i="39"/>
  <c r="G281" i="39"/>
  <c r="F281" i="39"/>
  <c r="L277" i="39"/>
  <c r="K277" i="39"/>
  <c r="J277" i="39"/>
  <c r="I277" i="39"/>
  <c r="H277" i="39"/>
  <c r="G277" i="39"/>
  <c r="F277" i="39"/>
  <c r="L249" i="39"/>
  <c r="K249" i="39"/>
  <c r="J249" i="39"/>
  <c r="I249" i="39"/>
  <c r="H249" i="39"/>
  <c r="G249" i="39"/>
  <c r="F249" i="39"/>
  <c r="L245" i="39"/>
  <c r="K245" i="39"/>
  <c r="J245" i="39"/>
  <c r="I245" i="39"/>
  <c r="H245" i="39"/>
  <c r="G245" i="39"/>
  <c r="F245" i="39"/>
  <c r="L241" i="39"/>
  <c r="K241" i="39"/>
  <c r="J241" i="39"/>
  <c r="I241" i="39"/>
  <c r="H241" i="39"/>
  <c r="G241" i="39"/>
  <c r="F241" i="39"/>
  <c r="L237" i="39"/>
  <c r="K237" i="39"/>
  <c r="J237" i="39"/>
  <c r="I237" i="39"/>
  <c r="H237" i="39"/>
  <c r="G237" i="39"/>
  <c r="F237" i="39"/>
  <c r="H211" i="39" l="1"/>
  <c r="I211" i="39"/>
  <c r="G211" i="39"/>
  <c r="G204" i="39"/>
  <c r="H204" i="39" l="1"/>
  <c r="I204" i="39" s="1"/>
  <c r="G254" i="39" s="1"/>
  <c r="G260" i="39" s="1"/>
  <c r="B84" i="39" l="1"/>
  <c r="B70" i="39"/>
  <c r="G48" i="39"/>
  <c r="I42" i="39"/>
  <c r="H42" i="39"/>
  <c r="G42" i="39"/>
  <c r="I39" i="39"/>
  <c r="H39" i="39"/>
  <c r="G39" i="39"/>
  <c r="I26" i="39"/>
  <c r="I25" i="39"/>
  <c r="I53" i="39" s="1"/>
  <c r="H26" i="39"/>
  <c r="H25" i="39"/>
  <c r="I33" i="39"/>
  <c r="H33" i="39"/>
  <c r="G33" i="39"/>
  <c r="B31" i="39"/>
  <c r="B37" i="46" s="1"/>
  <c r="B145" i="39"/>
  <c r="G141" i="39"/>
  <c r="G23" i="39"/>
  <c r="B28" i="39"/>
  <c r="B36" i="46" s="1"/>
  <c r="I30" i="39"/>
  <c r="H30" i="39"/>
  <c r="G30" i="39"/>
  <c r="G27" i="39"/>
  <c r="B101" i="37"/>
  <c r="B87" i="37"/>
  <c r="B73" i="37"/>
  <c r="B47" i="37"/>
  <c r="B34" i="37"/>
  <c r="B30" i="37"/>
  <c r="B29" i="37"/>
  <c r="F28" i="37"/>
  <c r="B28" i="37"/>
  <c r="F27" i="37"/>
  <c r="B27" i="37"/>
  <c r="F26" i="37"/>
  <c r="B26" i="37"/>
  <c r="H25" i="37"/>
  <c r="I25" i="37"/>
  <c r="G25" i="37"/>
  <c r="G53" i="39" s="1"/>
  <c r="B25" i="37"/>
  <c r="F25" i="37"/>
  <c r="F21" i="37"/>
  <c r="B21" i="37"/>
  <c r="B23" i="42" s="1"/>
  <c r="G19" i="37"/>
  <c r="B15" i="37"/>
  <c r="P10" i="37"/>
  <c r="B10" i="37" s="1"/>
  <c r="H53" i="39" l="1"/>
  <c r="F48" i="42"/>
  <c r="F23" i="42"/>
  <c r="E35" i="46"/>
  <c r="Q16" i="53" s="1"/>
  <c r="G54" i="39"/>
  <c r="I29" i="37"/>
  <c r="G35" i="46"/>
  <c r="S16" i="53" s="1"/>
  <c r="H29" i="37"/>
  <c r="F35" i="46"/>
  <c r="R16" i="53" s="1"/>
  <c r="I54" i="39"/>
  <c r="I114" i="42"/>
  <c r="I113" i="42"/>
  <c r="H54" i="39"/>
  <c r="H114" i="42"/>
  <c r="H113" i="42"/>
  <c r="B10" i="43"/>
  <c r="B10" i="42"/>
  <c r="B10" i="39"/>
  <c r="G29" i="37"/>
  <c r="G27" i="37"/>
  <c r="G30" i="37" s="1"/>
  <c r="I27" i="37"/>
  <c r="I30" i="37" s="1"/>
  <c r="H27" i="37"/>
  <c r="H30" i="37" s="1"/>
  <c r="P5" i="44"/>
  <c r="G114" i="42"/>
  <c r="G113" i="42"/>
  <c r="I27" i="39"/>
  <c r="H27" i="39"/>
  <c r="H48" i="39"/>
  <c r="I48" i="39" s="1"/>
  <c r="H141" i="39"/>
  <c r="I141" i="39" s="1"/>
  <c r="H23" i="39"/>
  <c r="B60" i="37"/>
  <c r="H19" i="37"/>
  <c r="I19" i="37" s="1"/>
  <c r="F302" i="39" l="1"/>
  <c r="F308" i="39" s="1"/>
  <c r="B5" i="49"/>
  <c r="I23" i="39"/>
  <c r="H302" i="39" s="1"/>
  <c r="H308" i="39" s="1"/>
  <c r="B5" i="45" l="1"/>
  <c r="B5" i="43"/>
  <c r="B5" i="37"/>
  <c r="B5" i="44"/>
  <c r="B5" i="39"/>
  <c r="B5" i="46"/>
  <c r="B5" i="47"/>
  <c r="B5" i="42"/>
  <c r="G302" i="39"/>
  <c r="G308"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EE62EA2-6E0B-4EA8-96D5-245052E419B1}">
      <text>
        <r>
          <rPr>
            <sz val="9"/>
            <color indexed="81"/>
            <rFont val="Tahoma"/>
            <family val="2"/>
          </rPr>
          <t>If there is more than one type (i.e. dumping for China, dumping &amp; subsidizing for Korea), you must manually modify the Intro paragraph.</t>
        </r>
      </text>
    </comment>
    <comment ref="A17" authorId="0" shapeId="0" xr:uid="{DD3C50B1-1036-4DD5-9DD0-55D6698CB983}">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tc={3ABFD759-CBF6-454B-81A1-FBF4BE51809E}</author>
  </authors>
  <commentList>
    <comment ref="O1" authorId="0" shapeId="0" xr:uid="{3ABFD759-CBF6-454B-81A1-FBF4BE51809E}">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<sst xmlns="http://schemas.openxmlformats.org/spreadsheetml/2006/main" count="1720" uniqueCount="1041">
  <si>
    <t>PUBLIC</t>
  </si>
  <si>
    <t>QUESTIONNAIRE DUE DATE</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</si>
  <si>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</si>
  <si>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</si>
  <si>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</si>
  <si>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</si>
  <si>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</si>
  <si>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</si>
  <si>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</si>
  <si>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</si>
  <si>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</si>
  <si>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Provide the names and addresses of other locations, facilities, and outlets in Canada on behalf of which your company is responding.</t>
  </si>
  <si>
    <t>Name of Authorized Official</t>
  </si>
  <si>
    <t>Nom du représentant autorisé</t>
  </si>
  <si>
    <t>Title of Authorized Official</t>
  </si>
  <si>
    <t>Titre du représentant autorisé</t>
  </si>
  <si>
    <t>Telephone</t>
  </si>
  <si>
    <t>Téléphone</t>
  </si>
  <si>
    <t>CONFIRMATION OF REPORTED DATA</t>
  </si>
  <si>
    <t>CONFIRMATION DES DONNÉES DÉCLARÉES</t>
  </si>
  <si>
    <t>Question 1</t>
  </si>
  <si>
    <t>Question 2</t>
  </si>
  <si>
    <t>Firm Name</t>
  </si>
  <si>
    <t xml:space="preserve">Dénomination sociale de l'entreprise </t>
  </si>
  <si>
    <t>Role in the Industry</t>
  </si>
  <si>
    <t>Rôle dans l'industrie</t>
  </si>
  <si>
    <t>Question 3</t>
  </si>
  <si>
    <t>Question 4</t>
  </si>
  <si>
    <t>Question 5</t>
  </si>
  <si>
    <t>Facility Name and Location</t>
  </si>
  <si>
    <t>Question 6</t>
  </si>
  <si>
    <t>Question 7</t>
  </si>
  <si>
    <t>What other products, if any, can be produced on the same equipment used to produce the goods?</t>
  </si>
  <si>
    <t>Question 8</t>
  </si>
  <si>
    <t>Question 9</t>
  </si>
  <si>
    <t>Question 10</t>
  </si>
  <si>
    <t>Question 11</t>
  </si>
  <si>
    <t>Question 12</t>
  </si>
  <si>
    <t>Question 13</t>
  </si>
  <si>
    <t>Question 14</t>
  </si>
  <si>
    <t>Production</t>
  </si>
  <si>
    <t>Export Sales</t>
  </si>
  <si>
    <t>Ventes à l'exportation</t>
  </si>
  <si>
    <t>For Sale in Canada</t>
  </si>
  <si>
    <t>Pour les ventes au Canada</t>
  </si>
  <si>
    <t>Total</t>
  </si>
  <si>
    <t xml:space="preserve">Net Sales Value </t>
  </si>
  <si>
    <t xml:space="preserve">Cost of Goods Sold </t>
  </si>
  <si>
    <t>Coût des marchandises vendues</t>
  </si>
  <si>
    <t>Gross Margin (Loss)</t>
  </si>
  <si>
    <t>Marge bénéficiaire brute (perte brute)</t>
  </si>
  <si>
    <t xml:space="preserve">General, Selling, and Administrative Expenses </t>
  </si>
  <si>
    <t>Frais généraux, de vente, et d'administration</t>
  </si>
  <si>
    <t xml:space="preserve">Financial Expenses </t>
  </si>
  <si>
    <t>Charges financières</t>
  </si>
  <si>
    <t>Net Income (Loss) Before Taxes</t>
  </si>
  <si>
    <t>Revenu net (perte nette) avant impôts</t>
  </si>
  <si>
    <t xml:space="preserve">Beginning Inventory of Goods in Process </t>
  </si>
  <si>
    <t>Stock d'ouverture des marchandises en cours de fabrication</t>
  </si>
  <si>
    <t xml:space="preserve">All Other Direct Materials Used </t>
  </si>
  <si>
    <t>Toutes les autres matières directes utilisées</t>
  </si>
  <si>
    <t>Direct Employment Wages Paid</t>
  </si>
  <si>
    <t xml:space="preserve">Le montant des salaires associé à l’emploi direct </t>
  </si>
  <si>
    <t>Charges indirectes de fabrication</t>
  </si>
  <si>
    <t>Cost of Goods Manufactured</t>
  </si>
  <si>
    <t xml:space="preserve">Coût des marchandises fabriquées </t>
  </si>
  <si>
    <t>Direct Employment</t>
  </si>
  <si>
    <t>Emploi direct</t>
  </si>
  <si>
    <t>Indirect Employment</t>
  </si>
  <si>
    <t>Emploi indirect</t>
  </si>
  <si>
    <t>Net Sales Value</t>
  </si>
  <si>
    <t>Valeur de vente nette</t>
  </si>
  <si>
    <t>Beginning Inventory</t>
  </si>
  <si>
    <t>Stock d'ouverture</t>
  </si>
  <si>
    <t>Cost of Goods Sold</t>
  </si>
  <si>
    <t>General, Selling, and Administrative Expenses</t>
  </si>
  <si>
    <t xml:space="preserve">Frais généraux, de vente, et d'administration </t>
  </si>
  <si>
    <t>Verification</t>
  </si>
  <si>
    <t>INVESTMENTS</t>
  </si>
  <si>
    <t>INVESTISSEMENTS</t>
  </si>
  <si>
    <t>Productivity</t>
  </si>
  <si>
    <t>Productivité</t>
  </si>
  <si>
    <t>Employment</t>
  </si>
  <si>
    <t>Emplois</t>
  </si>
  <si>
    <t>Wages</t>
  </si>
  <si>
    <t>Salaires</t>
  </si>
  <si>
    <t>Return on investment</t>
  </si>
  <si>
    <t>Rendement du capital investi</t>
  </si>
  <si>
    <t>Growth</t>
  </si>
  <si>
    <t>Croissance</t>
  </si>
  <si>
    <t xml:space="preserve">Ability to raise capital </t>
  </si>
  <si>
    <t>Capacité de réunir des capitaux</t>
  </si>
  <si>
    <t>Production Development Efforts</t>
  </si>
  <si>
    <t xml:space="preserve">Projets de développement de la production </t>
  </si>
  <si>
    <t>Other relevant factors</t>
  </si>
  <si>
    <t xml:space="preserve">Autres facteurs pertinents </t>
  </si>
  <si>
    <t>INJURY ALLEGATIONS</t>
  </si>
  <si>
    <t xml:space="preserve"> ALLÉGATIONS DE DOMMAGE</t>
  </si>
  <si>
    <t>NOTE:</t>
  </si>
  <si>
    <t>NOTE :</t>
  </si>
  <si>
    <t>Nunavut, Yukon and Northwest Territories</t>
  </si>
  <si>
    <t>Alberta and British Columbia</t>
  </si>
  <si>
    <t>Manitoba and Saskatchewan</t>
  </si>
  <si>
    <t xml:space="preserve">Quebec and Ontario </t>
  </si>
  <si>
    <t>Atlantic Provinces</t>
  </si>
  <si>
    <t>Provinces de l’Atlantique</t>
  </si>
  <si>
    <t>Québec et Ontario</t>
  </si>
  <si>
    <t xml:space="preserve">Manitoba et Saskatchewan </t>
  </si>
  <si>
    <t>Alberta et Colombie-Britannique</t>
  </si>
  <si>
    <t>Nunavut, Yukon et Territoires du Nord-Ouest</t>
  </si>
  <si>
    <t>2. Certaines informations fournies par votre entreprise peuvent faire l’objet d’une « divulgation restreinte » à la partie visée par les allégations de votre entreprise. Ces informations sont indiquées par les lettres « LD ». Pour faciliter et accélérer ce processus de « divulgation restreinte », votre entreprise est invitée à préparer, en remplissant le questionnaire, une version de « divulgation restreinte » de ces allégations. Cette version ne fera pas partie de la réponse au questionnaire de votre entreprise, mais doit être transmise, par votre conseiller juridique ou vous-même, à la partie ayant demandé une telle « divulgation restreinte », après que cette dernière aura déposé un acte d'engagement et de reconnaissance auprès du Tribunal.</t>
  </si>
  <si>
    <t>I understand that checking this box constitutes my legally binding signature.</t>
  </si>
  <si>
    <t>Je comprends que le fait de cocher cette case constitue ma signature juridiquement contraignante.</t>
  </si>
  <si>
    <t>Quels autres produits, le cas échéant, pourraient être fabriqués à l’aide du même outillage utilisé pour la production des marchandises?</t>
  </si>
  <si>
    <t>Other Expenses</t>
  </si>
  <si>
    <t>Autres dépenses</t>
  </si>
  <si>
    <t>Account 1</t>
  </si>
  <si>
    <t>Client 1</t>
  </si>
  <si>
    <t>Account 2</t>
  </si>
  <si>
    <t>Client 2</t>
  </si>
  <si>
    <t>Account 3</t>
  </si>
  <si>
    <t>Client 3</t>
  </si>
  <si>
    <t>Account 4</t>
  </si>
  <si>
    <t>Client 4</t>
  </si>
  <si>
    <t>Account 5</t>
  </si>
  <si>
    <t>Client 5</t>
  </si>
  <si>
    <t>VENTES AU CANADA DE LA PRODUCTION NATIONALE À VOS CINQ PLUS IMPORTANTS CLIENTS</t>
  </si>
  <si>
    <t>SALES IN CANADA OF DOMESTIC PRODUCTION TO TOP FIVE ACCOUNTS</t>
  </si>
  <si>
    <t>Total production of the goods</t>
  </si>
  <si>
    <t>Production totale des marchandises</t>
  </si>
  <si>
    <t>SUBMITTING THE QUESTIONNAIRE RESPONSE</t>
  </si>
  <si>
    <t>TRANSMISSION DU QUESTIONNAIRE REMPLI</t>
  </si>
  <si>
    <t>E-mail Address</t>
  </si>
  <si>
    <t>Date</t>
  </si>
  <si>
    <t>Provide a brief history of your firm, with particular emphasis on activities regarding the goods.</t>
  </si>
  <si>
    <t>Donnez un bref historique de votre entreprise, en insistant plus particulièrement sur les activités entourant les marchandises.</t>
  </si>
  <si>
    <t>If your firm is publicly traded, specify the stock exchange and trading symbol.</t>
  </si>
  <si>
    <t>Si votre entreprise est cotée en bourse, précisez quelle bourse et le symbole boursier.</t>
  </si>
  <si>
    <t xml:space="preserve">Dénomination sociale et emplacement de l'établissement </t>
  </si>
  <si>
    <t>Competitor's Offer</t>
  </si>
  <si>
    <t>Nature of Alleged Injury (P)</t>
  </si>
  <si>
    <t>Nature du dommage allégué (P)</t>
  </si>
  <si>
    <t>Product Description (P)</t>
  </si>
  <si>
    <t>Description du produit (P)</t>
  </si>
  <si>
    <t>Date of Transaction (P)</t>
  </si>
  <si>
    <t>Date de la transaction (P)</t>
  </si>
  <si>
    <t>Country of Origin (P)</t>
  </si>
  <si>
    <t>Pays d'origine (P)</t>
  </si>
  <si>
    <t>PUBLIC COMMENTS</t>
  </si>
  <si>
    <t>COMMENTAIRES PUBLICS</t>
  </si>
  <si>
    <t xml:space="preserve">Explain in detail how your firm determines practical plant capacity. </t>
  </si>
  <si>
    <t xml:space="preserve">Fournissez des détails sur la façon dont votre entreprise détermine la capacité pratique des usines. </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</si>
  <si>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</si>
  <si>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</si>
  <si>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</si>
  <si>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</si>
  <si>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</si>
  <si>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Fournissez l'état du coût des marchandises fabriquées de votre entreprise pour ses ventes au Canada et à l'exportation des marchandises produites au Canada.</t>
  </si>
  <si>
    <t>Report your firm’s past and projected investments in facilities for the goods for each period specified.</t>
  </si>
  <si>
    <t>Indiquez les investissements antérieurs et prévus de votre entreprise consacrés à ses installations des marchandises pour chaque période indiquée.</t>
  </si>
  <si>
    <t>Provide a description of your firm’s major past and projected investments, in which facilities they took or will take place and the reasons for those investments.</t>
  </si>
  <si>
    <t>Décrivez les principaux investissements antérieurs et prévus de votre entreprise, les installations qui en sont l’objet ou en ont été l’objet et les motifs de ces investissements.</t>
  </si>
  <si>
    <t>Beginning inventory</t>
  </si>
  <si>
    <t>Ending inventory</t>
  </si>
  <si>
    <t>English</t>
  </si>
  <si>
    <t>Français</t>
  </si>
  <si>
    <t>protégé</t>
  </si>
  <si>
    <t>protected</t>
  </si>
  <si>
    <t>producers' questionnaire</t>
  </si>
  <si>
    <t>questionnaire à l'intention des producteurs</t>
  </si>
  <si>
    <t>Variable</t>
  </si>
  <si>
    <t>French</t>
  </si>
  <si>
    <t>Case Number</t>
  </si>
  <si>
    <t>The Goods</t>
  </si>
  <si>
    <t xml:space="preserve">Product information and a glossary of terms can be found in the Info tab.
</t>
  </si>
  <si>
    <t>Des informations sur le produit et un glossaire de termes sont disponibles dans l'onglet Info.</t>
  </si>
  <si>
    <t xml:space="preserve">Use the AddPro tab if more space is needed.
</t>
  </si>
  <si>
    <t>Production pour les ventes au Canada</t>
  </si>
  <si>
    <t>Production for sale in Canada</t>
  </si>
  <si>
    <t>Production for export sales</t>
  </si>
  <si>
    <t>Production pour les ventes à l'exportation</t>
  </si>
  <si>
    <t>Production for internal use or further internal processing</t>
  </si>
  <si>
    <t>Production of other products produced using the same equipment</t>
  </si>
  <si>
    <t>Production d'autres produits fabriqués avec le même équipement</t>
  </si>
  <si>
    <t>Capacity utilization rate of the goods</t>
  </si>
  <si>
    <t>Taux d'utilisation des capacités des marchandises</t>
  </si>
  <si>
    <t>%</t>
  </si>
  <si>
    <t>Total capacity utilization rate</t>
  </si>
  <si>
    <t>Taux d'utilisation total des capacités</t>
  </si>
  <si>
    <t>Capacité pratique des usines</t>
  </si>
  <si>
    <t>Complete the following table for your firm's Canadian sales and inventories of the goods.</t>
  </si>
  <si>
    <t>For the questions in this tab, note the following:</t>
  </si>
  <si>
    <t>Pour les questions de cet onglet, notez ce qui suit :</t>
  </si>
  <si>
    <t>Trade Level 1 (plural)</t>
  </si>
  <si>
    <t>Delivery Cost</t>
  </si>
  <si>
    <t>Coût de livraison</t>
  </si>
  <si>
    <t>Décrivez les plans de votre entreprise pour gérer les niveaux de stocks au cours des deux prochaines années. Fournissez les motifs et les hypothèses sous-tendant ces objectifs et ces stratégies.</t>
  </si>
  <si>
    <t>Provide your firm’s strategies and objectives for the next two years with respect to the domestic sales of domestic production of the goods. Provide the rationale and assumptions underlying these strategies and objectives.</t>
  </si>
  <si>
    <t>Fournissez les stratégies et les objectifs de votre entreprise pour les deux prochaines années en ce qui concerne les ventes intérieures de la production nationale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</si>
  <si>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</si>
  <si>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</si>
  <si>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Fournissez les stratégies et les objectifs de votre entreprise pour les deux prochaines années en ce qui concerne les prix des marchandises. Fournir la justification et les hypothèses qui sous-tendent ces stratégies et objectifs.</t>
  </si>
  <si>
    <t>Vérification</t>
  </si>
  <si>
    <t>Complete the income statement for your total firm. Report total results for all products sold by your firm, including but not limited to the goods. These amounts should correspond to those reported in your firm's audited financial statements.</t>
  </si>
  <si>
    <t>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t>
  </si>
  <si>
    <r>
      <t xml:space="preserve">List the top three direct materials used in your firm's production of the goods </t>
    </r>
    <r>
      <rPr>
        <b/>
        <sz val="10.5"/>
        <rFont val="Calibri"/>
        <family val="2"/>
        <scheme val="minor"/>
      </rPr>
      <t>by value</t>
    </r>
    <r>
      <rPr>
        <sz val="10.5"/>
        <rFont val="Calibri"/>
        <family val="2"/>
        <scheme val="minor"/>
      </rPr>
      <t>.</t>
    </r>
  </si>
  <si>
    <t>Énumérez les trois principales matières directes utilisées dans la production des marchandises par votre entreprise, en fonction de leur valeur.</t>
  </si>
  <si>
    <t>Direct material used 1</t>
  </si>
  <si>
    <t>La matière directe utilisée 1</t>
  </si>
  <si>
    <t>Direct material used 2</t>
  </si>
  <si>
    <t>La matière directe utilisée 2</t>
  </si>
  <si>
    <t>Direct material used 3</t>
  </si>
  <si>
    <t>La matière directe utilisée 3</t>
  </si>
  <si>
    <t>Ending Inventory of Goods in Process</t>
  </si>
  <si>
    <t>For Export Sales</t>
  </si>
  <si>
    <t>Pour les ventes à l'exportation</t>
  </si>
  <si>
    <t>Provide your firm's employment, hours worked and wages paid with regard to the production of the goods. Include employment used in the production for domestic sales, for export sales, and for internal use or further processing.</t>
  </si>
  <si>
    <t>Nombre d'employés</t>
  </si>
  <si>
    <t>#</t>
  </si>
  <si>
    <t>Nombre d'heures travaillées</t>
  </si>
  <si>
    <t>Direct Employment - Domestic and Export Sales</t>
  </si>
  <si>
    <t>Emploi direct - ventes nationales et ventes à l'exportation</t>
  </si>
  <si>
    <t>Direct Employment - Internal Use or Further Internal Processing</t>
  </si>
  <si>
    <t>Emploi direct - utilisées à l'interne ou destinées à la transformation ultérieure à l’interne</t>
  </si>
  <si>
    <t>Production Volume per Direct Employee</t>
  </si>
  <si>
    <t>Volume de production par employé direct</t>
  </si>
  <si>
    <t>Production Volume per Direct Employment Hours Worked</t>
  </si>
  <si>
    <t>Total Wages per Direct Employee</t>
  </si>
  <si>
    <t>Salaires totaux par employé direct</t>
  </si>
  <si>
    <t>Total Wages per Indirect Employee</t>
  </si>
  <si>
    <t>Salaires totaux par employé indirect</t>
  </si>
  <si>
    <t>Hourly Wages per Direct Employee</t>
  </si>
  <si>
    <t>Hourly Wages per Indirect Employee</t>
  </si>
  <si>
    <t>Year</t>
  </si>
  <si>
    <t>Année</t>
  </si>
  <si>
    <t>Duration</t>
  </si>
  <si>
    <t xml:space="preserve">Durée  </t>
  </si>
  <si>
    <t>Cause</t>
  </si>
  <si>
    <t>Raison</t>
  </si>
  <si>
    <t>Event 1</t>
  </si>
  <si>
    <t>Événement 1</t>
  </si>
  <si>
    <t>Event 2</t>
  </si>
  <si>
    <t>Événement 2</t>
  </si>
  <si>
    <t>Event 3</t>
  </si>
  <si>
    <t>Événement 3</t>
  </si>
  <si>
    <t>Event 4</t>
  </si>
  <si>
    <t>Événement 4</t>
  </si>
  <si>
    <t>Event 5</t>
  </si>
  <si>
    <t>Événement 5</t>
  </si>
  <si>
    <t xml:space="preserve">Complete the income statement for your firm's sales in Canada and sales for export of the goods produced in Canada. This statement is to be prepared using a full absorption costing method and is to be reported on a calendar-year basis. </t>
  </si>
  <si>
    <t>Fournissez l'état des résultats de votre entreprise pour ses ventes au Canada et à l'exportation des marchandises produites au Canada. Cet état doit être préparé en utilisant la méthode du coût de revient complet et déclaré selon le régime de l’année civile.</t>
  </si>
  <si>
    <t>Coût des marchandises fabriquées</t>
  </si>
  <si>
    <t xml:space="preserve">Ending Inventory </t>
  </si>
  <si>
    <t>Investments</t>
  </si>
  <si>
    <t>Investissements</t>
  </si>
  <si>
    <t>Décrivez les plans de votre entreprise pour gérer le coût des matières au cours des deux prochaines années. Fournissez les motifs et les hypothèses sous-tendant ces objectifs et ces stratégies.</t>
  </si>
  <si>
    <t>Décrivez les plans de votre entreprise pour gérer le rendement financier des deux prochaines années. Fournissez les motifs et les hypothèses sous-tendant ces objectifs et ces stratégies.</t>
  </si>
  <si>
    <t>According to the Tribunal’s Guideline on the Designation, Protection, Use and Transmission of Confidential Information (the Guideline), domestic producers are under no obligation to provide customer-specific injury allegations, as these are not essential to the conduct of an inquiry or a review. However, where a party decides to submit customer-specific injury allegations, the Tribunal is interested in quality rather than quantity.</t>
  </si>
  <si>
    <t>Aux termes de la Ligne directrice sur la désignation, protection, utilisation et transmission des renseignements confidentiels (Ligne directrice), les producteurs nationaux ne sont pas tenus de fournir des allégations de dommage à l’égard d’un client en particulier puisqu'elles ne sont pas essentielles au déroulement d’une enquête ou d’un réexamen. Par contre, si une partie décide d’en présenter, le Tribunal recherchera la qualité plutôt que la quantité.</t>
  </si>
  <si>
    <t>Allegation</t>
  </si>
  <si>
    <t>2. Some of the information in your firm's response may be subject to “limited disclosure” to the party against whom it is making the allegation. This information is indicated by the letters “LD”. To facilitate and expedite any “limited disclosure,” your firm is invited to prepare, when it completes the questionnaire, a “limited disclosure” version of these allegations. This version is not to be included in your firm's reply to this questionnaire, but would be given, by you or your counsel, to a party requesting the “limited disclosure” after the party has filed an undertaking and acknowledgement form with the Tribunal.</t>
  </si>
  <si>
    <t>General Information</t>
  </si>
  <si>
    <t>Renseignements généraux</t>
  </si>
  <si>
    <t>Name of Account (LD)</t>
  </si>
  <si>
    <t>Nom du client (LD)</t>
  </si>
  <si>
    <t>Address (LD)</t>
  </si>
  <si>
    <t>Adresse (LD)</t>
  </si>
  <si>
    <t>Trade Level (LD)</t>
  </si>
  <si>
    <t>Domestic Producer's Offer</t>
  </si>
  <si>
    <t>Offre du producteur national</t>
  </si>
  <si>
    <t>Offre du concurrent</t>
  </si>
  <si>
    <t>Name of Competitor (LD)</t>
  </si>
  <si>
    <t>Nom du concurrent (LD)</t>
  </si>
  <si>
    <t>Comments</t>
  </si>
  <si>
    <t>Commentaires</t>
  </si>
  <si>
    <t>Comment 1</t>
  </si>
  <si>
    <t>Commentaire 1</t>
  </si>
  <si>
    <t>Comment 2</t>
  </si>
  <si>
    <t>Commentaire 2</t>
  </si>
  <si>
    <t>Comment 3</t>
  </si>
  <si>
    <t>Commentaire 3</t>
  </si>
  <si>
    <t>Comment 4</t>
  </si>
  <si>
    <t>Commentaire 4</t>
  </si>
  <si>
    <t>Comment 5</t>
  </si>
  <si>
    <t>Commentaire 5</t>
  </si>
  <si>
    <t xml:space="preserve">Use the AddPub tab if more space is needed.
</t>
  </si>
  <si>
    <t>Utilisez l'onglet AddPub si vous avez besoin de plus d'espace.</t>
  </si>
  <si>
    <t>Provide the following information associated with your firm's Canadian production of all products.</t>
  </si>
  <si>
    <t>Fournissez les renseignements suivants associés à la production canadienne de tous les produits de votre entreprise.</t>
  </si>
  <si>
    <t>Describe how delivery of the goods sold by your firm is paid for.</t>
  </si>
  <si>
    <t>Price Premium</t>
  </si>
  <si>
    <t xml:space="preserve"> Majoration du prix</t>
  </si>
  <si>
    <t>Question 15</t>
  </si>
  <si>
    <t>Question 16</t>
  </si>
  <si>
    <t>Question 17</t>
  </si>
  <si>
    <t>Question 18</t>
  </si>
  <si>
    <t>Employment levels</t>
  </si>
  <si>
    <t>Les niveaux d’emploi de votre entreprise</t>
  </si>
  <si>
    <t>Employees’ wages</t>
  </si>
  <si>
    <t>Les salaires de vos employés</t>
  </si>
  <si>
    <t>Hours worked</t>
  </si>
  <si>
    <t>Le nombre d’heures de travail</t>
  </si>
  <si>
    <t>Pension plans</t>
  </si>
  <si>
    <t>Le régime de pension</t>
  </si>
  <si>
    <t>Benefits</t>
  </si>
  <si>
    <t>Les avantages sociaux</t>
  </si>
  <si>
    <t>Worker training and safety</t>
  </si>
  <si>
    <t>La formation et la sécurité des travailleurs.</t>
  </si>
  <si>
    <t>Question 19</t>
  </si>
  <si>
    <t>Question 20</t>
  </si>
  <si>
    <t>Question 21</t>
  </si>
  <si>
    <t>Question 22</t>
  </si>
  <si>
    <t>Question 23</t>
  </si>
  <si>
    <t>Question 24</t>
  </si>
  <si>
    <t>In which language would you prefer to complete this questionnaire?</t>
  </si>
  <si>
    <t>Due Date</t>
  </si>
  <si>
    <t>Failure to complete the questionnaire by the due date may result in the Tribunal issuing a production order, pursuant to section 17 of the Canadian International Trade Tribunal Act, to compel the production of a questionnaire response.</t>
  </si>
  <si>
    <t>Product Defn</t>
  </si>
  <si>
    <t xml:space="preserve">This questionnaire is divided into two parts:
</t>
  </si>
  <si>
    <t xml:space="preserve">Le présent questionnaire est divisé en deux parties :
</t>
  </si>
  <si>
    <t>The completed questionnaire can be submitted using one of the following methods:</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</si>
  <si>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</si>
  <si>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</si>
  <si>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</si>
  <si>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</si>
  <si>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HS Code defn change date</t>
  </si>
  <si>
    <t>HS Codes before change</t>
  </si>
  <si>
    <t>HS Codes after change</t>
  </si>
  <si>
    <t>Question 25</t>
  </si>
  <si>
    <t>Question 26</t>
  </si>
  <si>
    <t>Data Validation comments</t>
  </si>
  <si>
    <t>Describe your firm's production processes for the goods and provide flow charts illustrating the processes.</t>
  </si>
  <si>
    <t>Décrivez les processus de production de votre entreprise pour les marchandises et fournissez des organigrammes illustrant les processus.</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</si>
  <si>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</si>
  <si>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</si>
  <si>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 xml:space="preserve">If any of the calculated capacity utilization rates are higher than 100%, explain why this has occurred.
</t>
  </si>
  <si>
    <t>Number of Direct Employees Affected</t>
  </si>
  <si>
    <t>Nombre d'employés directs concernés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</si>
  <si>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</si>
  <si>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</si>
  <si>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</si>
  <si>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</si>
  <si>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</si>
  <si>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</si>
  <si>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Explain circumstances where Canadian purchasers are willing to pay a price premium for the goods produced in Canada and what the amount of that premium would be.</t>
  </si>
  <si>
    <t>Votre entreprise envisage-t-elle d'augmenter ou de diminuer la capacité pratique de son usine de production de marchandises au cours des deux prochaines années ? Incluez les dates cibles, la capacité pratique cible de l’usine, les usines concernées et les raisons du changement.</t>
  </si>
  <si>
    <t>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t>
  </si>
  <si>
    <t>Votre entreprise envisage-t-elle de modifier la gamme de produits fabriqués sur le même équipement au cours des deux prochaines années? Fournissez les motifs et les hypothèses sous-tendant ces objectifs et ces stratégies.</t>
  </si>
  <si>
    <t>Indicate the primary industries of your customers of the goods.</t>
  </si>
  <si>
    <t xml:space="preserve">Primary Industry 1 </t>
  </si>
  <si>
    <t>Segment de marché 1</t>
  </si>
  <si>
    <t>Primary Industry 2</t>
  </si>
  <si>
    <t>Segment de marché 2</t>
  </si>
  <si>
    <t>Primary Industry 3</t>
  </si>
  <si>
    <t>Segment de marché 3</t>
  </si>
  <si>
    <t>If the volume of ending inventory in Question 1 on the Pro 2 tab differs from the calculated ending inventory, explain why there is a difference.</t>
  </si>
  <si>
    <t>Provide your firm’s strategies and objectives for the next two years with respect to the pricing of the goods. Provide the rationale and assumptions underlying these strategies and objectives.</t>
  </si>
  <si>
    <t>Type</t>
  </si>
  <si>
    <t>Indiquez le volume et la valeur des ventes intérieures provenant de la production nationale pour chaque produit de référence :</t>
  </si>
  <si>
    <t xml:space="preserve">When submitting the completed questionnaire using the secure E-filing service, designate the questionnaire as confidential. Note that the information in the public (blue) tabs in your questionnaire will be treated as public information.
</t>
  </si>
  <si>
    <t>Select Yes or No</t>
  </si>
  <si>
    <t xml:space="preserve">If your firm has more than one location, facility or outlet, submit a consolidated response to the questionnaire.
</t>
  </si>
  <si>
    <t xml:space="preserve">1. In accordance with the Guideline, some of the information included in your firm's injury allegations is considered by the Tribunal to be public/non-confidential in nature. This information is indicated by the letter “P”. This information will be used to generate your firm's response in the "Confirm" blue tab. Consequently, review to ensure that all information provided under the columns labelled "P" is public/non-confidential in nature. </t>
  </si>
  <si>
    <t>1. Aux termes de la Ligne directrice, le Tribunal considère que certains renseignements fournis dans les allégations de dommage de votre entreprise sont de nature publique/non confidentielle. Ces informations sont indiquées par la lettre « P ». Ces informations seront utilisées pour générer la réponse de votre entreprise sous l’onglet bleu « Confirm ». Par conséquent, vérifiez que toute l’information fournie dans les colonnes portant la mention « P » est de nature publique/non confidentielle.</t>
  </si>
  <si>
    <t>Cost of goods manufactured</t>
  </si>
  <si>
    <t>Cost of goods sold</t>
  </si>
  <si>
    <t>Direct employment</t>
  </si>
  <si>
    <t>Financial expenses</t>
  </si>
  <si>
    <t>General, selling and administrative expenses</t>
  </si>
  <si>
    <t>Indirect employment</t>
  </si>
  <si>
    <t>Net delivered selling value</t>
  </si>
  <si>
    <t>Net sales value</t>
  </si>
  <si>
    <t>Practical plant capacity</t>
  </si>
  <si>
    <t>L’emploi direct</t>
  </si>
  <si>
    <t>Frais généraux, de vente et d'administration</t>
  </si>
  <si>
    <t>L'emploi indirect</t>
  </si>
  <si>
    <t>Valeur de vente nette rendue</t>
  </si>
  <si>
    <t xml:space="preserve">La capacité pratique des usines
</t>
  </si>
  <si>
    <t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</si>
  <si>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</si>
  <si>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t>
  </si>
  <si>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</si>
  <si>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</si>
  <si>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Dans le tableau ci-dessous, « Erreur » signifie que le total des ventes des produits de référence de votre entreprise dépasse le total des ventes nationales de votre entreprise pour cette période. Par conséquent, veuillez modifier les données ci-dessus.</t>
  </si>
  <si>
    <t>Describe your firm's plans to manage financial performance in the next two years. Provide the rationale and assumptions underlying these strategies and objectives.</t>
  </si>
  <si>
    <t>Note: Public/non-confidential information in this table is automatically generated from the information provided in the rows denoted with a (P) in the "Pro 4" tab. Any changes to this public summary must therefore be made in the "Pro 4" tab.</t>
  </si>
  <si>
    <t>Note : L’information publique/non confidentielle dans ce tableau est générée automatiquement à partir de l’information fournie dans les lignes portant la mention « P » sous l’onglet « Pro 4 ». Par conséquent, toute modification à apporter à ce résumé public/non confidentiel doit être faite sous l’onglet « Pro 4 ».</t>
  </si>
  <si>
    <t>These allegations should be detailed, concrete, substantiated and verifiable. However, they should be limited in number to a sample of no more than 10, which is reasonably representative of the nature of the injury that is being alleged.</t>
  </si>
  <si>
    <t>Ces allégations doivent être détaillées, concrètes, fondées et vérifiables. Toutefois, l’échantillon choisi doit consister en un maximum de 10 exemples raisonnables de la nature du prétendu dommage.</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</si>
  <si>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</si>
  <si>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</si>
  <si>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</si>
  <si>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</si>
  <si>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Si votre entreprise possède plusieurs sites, installations ou points de vente, soumettez une réponse consolidée au questionnaire.</t>
  </si>
  <si>
    <t>Fournissez les noms et adresses des autres emplacements, installations et points de vente au Canada au nom desquels votre entreprise répond.</t>
  </si>
  <si>
    <t>DATE D’ÉCHÉANCE DU QUESTIONNAIRE</t>
  </si>
  <si>
    <t>Adresse de l’entreprise</t>
  </si>
  <si>
    <t>Lorsque vous soumettez le questionnaire complété à l’aide du service de dépôt électronique sécurisé, désignez le questionnaire comme confidentiel. Veuillez noter que les informations contenues dans les onglets publics (bleus) de votre questionnaire seront traitées comme des informations publiques.</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</si>
  <si>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</si>
  <si>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</si>
  <si>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Expenses incurred by a business due to its financing activities. Financing expenses include the outflow of cash to investors through dividends, interest from loans, costs from repurchasing stock, currency gains or losses, and other expenses from financing activities.</t>
  </si>
  <si>
    <t>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t>
  </si>
  <si>
    <t>Nature of association</t>
  </si>
  <si>
    <t>What publications or indices does your firm use to track the prices of direct materials used in the production of the goods?</t>
  </si>
  <si>
    <t>Quelles publications ou indices votre entreprise utilise-t-elle pour suivre les prix des matières directes utilisées dans la production des marchandises?</t>
  </si>
  <si>
    <t>Décrivez comment les coûts de livraison des marchandises vendues par votre entreprise sont payés.</t>
  </si>
  <si>
    <t>Expliquez les circonstances dans lesquelles les acheteurs canadiens sont prêts à payer une prime pour les marchandises produites au Canada. Quel serait le montant de cette prime?</t>
  </si>
  <si>
    <t>Si votre entreprise désire ajouter des commentaires concernant vos réponses, vous les inscrivez ici. Indiquez à quelle question se rapportent vos commentaires.</t>
  </si>
  <si>
    <t>Does your firm have any plans to increase or decrease its practical plant capacity of the goods in the next two years? Include target dates, target practical plant capacity, the plants involved and the reasons for the change.</t>
  </si>
  <si>
    <t>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</si>
  <si>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Does your firm have any plans to change the product mix of the goods produced on the same equipment, in the next two years? Provide the rationale and assumptions underlying these strategies and objectives.</t>
  </si>
  <si>
    <t>Production utilisée à l'interne ou destinée à la transformation ultérieure à l’interne</t>
  </si>
  <si>
    <t>Describe your firm’s plans to manage inventory levels, in the next two years. Provide the rationale and assumptions underlying these strategies and objectives.</t>
  </si>
  <si>
    <t>In the table below, “Error” means that the total sales to your firm’s top five accounts for that period exceed your firm’s total domestic sales for that period. Therefore, please modify the above data.</t>
  </si>
  <si>
    <t>In the table below, “Error” means that the total sales to your firm's benchmark products exceed your firm's total domestic sales for that period. Therefore, please modify the above data.</t>
  </si>
  <si>
    <t xml:space="preserve">Report the volume and value of domestic sales from domestic production for each account listed below: </t>
  </si>
  <si>
    <t xml:space="preserve">Report the volume and value of domestic sales from domestic production for each benchmark product listed below: </t>
  </si>
  <si>
    <t xml:space="preserve">Complete the statement of the cost of goods manufactured for your firm's sales in Canada and export sales of the goods produced in Canada. </t>
  </si>
  <si>
    <t xml:space="preserve">Factory overhead </t>
  </si>
  <si>
    <t>Number of employees</t>
  </si>
  <si>
    <t>Wages paid</t>
  </si>
  <si>
    <t>Salaires payés</t>
  </si>
  <si>
    <t>Salaires horaires par employé direct</t>
  </si>
  <si>
    <t>Salaires horaires par employé indirect</t>
  </si>
  <si>
    <t>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t>
  </si>
  <si>
    <t xml:space="preserve">If your firm would like to make customer-specific injury allegations for which it believes that the subject goods have caused it to lose accounts, lose some sales to an account, or reduce or suppress prices to retain sales, then provide the information requested below. </t>
  </si>
  <si>
    <t>COMMENTAIRES PROTÉGÉS</t>
  </si>
  <si>
    <t>Confirmez que toutes les valeurs déclarées dans ce questionnaire sont en dollars canadiens.</t>
  </si>
  <si>
    <t>Confirm that all values reported in this questionnaire are in Canadian Dollars.</t>
  </si>
  <si>
    <t>1000 character limit | limite de 1000 caractères</t>
  </si>
  <si>
    <t>Unaccounted</t>
  </si>
  <si>
    <t>Adresse courriel</t>
  </si>
  <si>
    <t>Perf</t>
  </si>
  <si>
    <t>Domestic Sales</t>
  </si>
  <si>
    <t>Total Firm</t>
  </si>
  <si>
    <t>Cost of goods manufactured ¹</t>
  </si>
  <si>
    <t>$000</t>
  </si>
  <si>
    <t>Tonnes</t>
  </si>
  <si>
    <t xml:space="preserve">Volume of goods manufactured </t>
  </si>
  <si>
    <t>Gross margin (loss)</t>
  </si>
  <si>
    <t xml:space="preserve">Direct materials used </t>
  </si>
  <si>
    <t>Direct labour</t>
  </si>
  <si>
    <t>Other expenses</t>
  </si>
  <si>
    <t>Less: ending inventory</t>
  </si>
  <si>
    <t>Net income (loss) before taxes</t>
  </si>
  <si>
    <t xml:space="preserve">Cost of goods manufactured </t>
  </si>
  <si>
    <t>Income statement</t>
  </si>
  <si>
    <t>Net sales volume (tonnes)</t>
  </si>
  <si>
    <t>AvgCost</t>
  </si>
  <si>
    <t>DM1</t>
  </si>
  <si>
    <t>DM2</t>
  </si>
  <si>
    <t>DM3</t>
  </si>
  <si>
    <t>All Other Direct Materials Used</t>
  </si>
  <si>
    <t>OtherPerf</t>
  </si>
  <si>
    <t>Practical plant capacity (tonnes)  |  Capacité pratique des usines (tonnes)</t>
  </si>
  <si>
    <t>Production (tonnes)</t>
  </si>
  <si>
    <t>For domestic sales  |  Pour les ventes nationales</t>
  </si>
  <si>
    <t xml:space="preserve">For export sales  |  Pour les ventes à l'exportation </t>
  </si>
  <si>
    <t xml:space="preserve">For further internal processing  |  Pour la transformation ultérieure
</t>
  </si>
  <si>
    <t>Total - Production</t>
  </si>
  <si>
    <t>Other goods produced on the same equipment</t>
  </si>
  <si>
    <t xml:space="preserve">Export sales  |  Ventes à l'exportation </t>
  </si>
  <si>
    <t>Total - Volume (tonnes)</t>
  </si>
  <si>
    <t>Total - Value ($000)  |  Valeur (000 $)</t>
  </si>
  <si>
    <t>Total - Unit value ($/tonne)  |  Valeur unitaire ($/tonne)</t>
  </si>
  <si>
    <t>Number of employees  |  Nombre d'employés</t>
  </si>
  <si>
    <t>Direct employment  |  Emploi direct</t>
  </si>
  <si>
    <t>Indirect employment  |  Emploi indirect</t>
  </si>
  <si>
    <t>Total - Number of employees  |  Total - Nombre d'employés</t>
  </si>
  <si>
    <t>Hours worked (000)  |  Nombre d'heures travaillées (000)</t>
  </si>
  <si>
    <t>Total - Hours worked (000)  |  Nombre d'heures travaillées (000)</t>
  </si>
  <si>
    <t>Projected  |  Projection</t>
  </si>
  <si>
    <t>Investments ($000)  |  Investissements (000 $)</t>
  </si>
  <si>
    <t>ImpMkts</t>
  </si>
  <si>
    <t>Respondent</t>
  </si>
  <si>
    <t>Resp. Type</t>
  </si>
  <si>
    <t>Trade Level</t>
  </si>
  <si>
    <t>DIST VS EU</t>
  </si>
  <si>
    <t>Exporter</t>
  </si>
  <si>
    <t>de minimis</t>
  </si>
  <si>
    <t>Source</t>
  </si>
  <si>
    <t>Other Country</t>
  </si>
  <si>
    <t>Transaction</t>
  </si>
  <si>
    <t>Sales to:</t>
  </si>
  <si>
    <t>Vol - 2020</t>
  </si>
  <si>
    <t>Vol - 2021</t>
  </si>
  <si>
    <t>Vol - 2022</t>
  </si>
  <si>
    <t>Val - 2020</t>
  </si>
  <si>
    <t>Val - 2021</t>
  </si>
  <si>
    <t>Val - 2022</t>
  </si>
  <si>
    <t>1 - Producer</t>
  </si>
  <si>
    <t>-</t>
  </si>
  <si>
    <t>DOM</t>
  </si>
  <si>
    <t>Dom</t>
  </si>
  <si>
    <t>Dom-Sls</t>
  </si>
  <si>
    <t>1 - Distributor</t>
  </si>
  <si>
    <t>2 - End user</t>
  </si>
  <si>
    <t>Regional</t>
  </si>
  <si>
    <t>Respondent Type</t>
  </si>
  <si>
    <t>From</t>
  </si>
  <si>
    <t>Section</t>
  </si>
  <si>
    <t>Region</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</si>
  <si>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</si>
  <si>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</si>
  <si>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</si>
  <si>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</si>
  <si>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</si>
  <si>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</si>
  <si>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</si>
  <si>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</si>
  <si>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</si>
  <si>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</si>
  <si>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Account #</t>
  </si>
  <si>
    <t>Name of Account</t>
  </si>
  <si>
    <t>Match</t>
  </si>
  <si>
    <t>A - DOM</t>
  </si>
  <si>
    <t>Account #1</t>
  </si>
  <si>
    <t>Account #2</t>
  </si>
  <si>
    <t>Account #3</t>
  </si>
  <si>
    <t>Account #4</t>
  </si>
  <si>
    <t>Account #5</t>
  </si>
  <si>
    <t>PRODUCTION</t>
  </si>
  <si>
    <t>1 - Domestic</t>
  </si>
  <si>
    <t>1 - Primes</t>
  </si>
  <si>
    <t>2 - Seconds</t>
  </si>
  <si>
    <t>2 - Export</t>
  </si>
  <si>
    <t>3 - Further Processing</t>
  </si>
  <si>
    <t>VOLUME</t>
  </si>
  <si>
    <t>VALUE</t>
  </si>
  <si>
    <t>UNIT VALUE</t>
  </si>
  <si>
    <t>Wages ($000)</t>
  </si>
  <si>
    <t>Total - Wages ($000)</t>
  </si>
  <si>
    <t>Tonnes / employee (direct)</t>
  </si>
  <si>
    <t>Tonnes / hour worked (direct)</t>
  </si>
  <si>
    <t>Inventories</t>
  </si>
  <si>
    <t>Total - Value ($000)</t>
  </si>
  <si>
    <t>Total - Unit value ($/tonne)</t>
  </si>
  <si>
    <t>Inquiry Type</t>
  </si>
  <si>
    <t>Sheet Type</t>
  </si>
  <si>
    <t>Del Cost Percentage of Value</t>
  </si>
  <si>
    <t>Volume</t>
  </si>
  <si>
    <t xml:space="preserve">% </t>
  </si>
  <si>
    <t>% Distribution</t>
  </si>
  <si>
    <t>TopAccounts</t>
  </si>
  <si>
    <t>De minimis</t>
  </si>
  <si>
    <t>Q1  |  T1 2023</t>
  </si>
  <si>
    <t>Q2  |  T2 2023</t>
  </si>
  <si>
    <t>Q3  |  T3 2023</t>
  </si>
  <si>
    <t>Q4  |  T4 2023</t>
  </si>
  <si>
    <t>Q1  |  T1 2024</t>
  </si>
  <si>
    <t>Q2  |  T2 2024</t>
  </si>
  <si>
    <t>Q3  |  T3 2024</t>
  </si>
  <si>
    <t>Q4  |  T4 2024</t>
  </si>
  <si>
    <t>Net Delivered Selling Value</t>
  </si>
  <si>
    <t>A</t>
  </si>
  <si>
    <t>2. E-mail to citt-tcce@tribunal.gc.ca if you accept the associated risks and you are filing information that belongs to your firm only.</t>
  </si>
  <si>
    <t>Direct Material No. 1</t>
  </si>
  <si>
    <t>Direct Material No. 2</t>
  </si>
  <si>
    <t>Direct Material No. 3</t>
  </si>
  <si>
    <t>CAD</t>
  </si>
  <si>
    <t>Describe your firm’s plans to manage the cost of direct materials for the next two years. Provide the rationale and assumptions underlying these strategies and objectives.</t>
  </si>
  <si>
    <t>Maximum length reached. Use the AddPub tab to add further info. | La limite maximale de caractères est atteinte. Utilisez l'onglet AddPub pour ajouter plus d'information.</t>
  </si>
  <si>
    <t>Maximum length reached. Use the AddPro tab to add further info. | La limite maximale de caractères est atteinte. Utilisez l'onglet AddPro pour ajouter plus d'information.</t>
  </si>
  <si>
    <t>Int period 1</t>
  </si>
  <si>
    <t>Int period 2</t>
  </si>
  <si>
    <t>Export sales</t>
  </si>
  <si>
    <t>Should your firm wish to add any comments related to its responses, submit them here. Be sure to indicate the applicable question number.</t>
  </si>
  <si>
    <t>Trade Level 2 (plural)</t>
  </si>
  <si>
    <t>HS codes</t>
  </si>
  <si>
    <t>Date of change</t>
  </si>
  <si>
    <t>First Year of POI</t>
  </si>
  <si>
    <t>Last Day of POI</t>
  </si>
  <si>
    <t>Last Year of POI</t>
  </si>
  <si>
    <t>If no, explain.</t>
  </si>
  <si>
    <t>Si non, expliquez.</t>
  </si>
  <si>
    <t>Produced the goods</t>
  </si>
  <si>
    <t>Produit les marchandises</t>
  </si>
  <si>
    <t>Imported the goods from any country as the importer of record</t>
  </si>
  <si>
    <t>• Report all sales to Canadian and foreign associated firms.</t>
  </si>
  <si>
    <t>• Report all sales as of the date of shipment to the customer or the customer’s warehouse.</t>
  </si>
  <si>
    <t>• Report all values in Canadian dollars (CAD).</t>
  </si>
  <si>
    <t>• Déclarez toutes les ventes aux entreprises associées canadiennes et étrangères.</t>
  </si>
  <si>
    <t>• Déclarez toutes les ventes à compter de la date de l’expédition au client ou à son entrepôt.</t>
  </si>
  <si>
    <t>• Déclarez toutes les valeurs en dollars canadiens (CAD).</t>
  </si>
  <si>
    <t xml:space="preserve">• The statements are to be prepared using a full absorption costing method and are to be reported on a calendar-year basis. 
</t>
  </si>
  <si>
    <t xml:space="preserve">• Les états doivent être établis selon la méthode du coût d'absorption totale et doivent être déclarés sur la base de l'année civile. </t>
  </si>
  <si>
    <t>Expliquez si cette installation produit les marchandises destinées au marché canadien et/ou au marché d'exportation</t>
  </si>
  <si>
    <t>Explain whether this facility produces the goods for the Canadian market and/or the export market</t>
  </si>
  <si>
    <t>Si l'un ou l'autre des taux d'utilisation de la capacité, tel que calculé, est supérieur à 100 %, expliquez.</t>
  </si>
  <si>
    <t>Déclarez le volume et la valeur des ventes intérieures provenant de la production nationale pour chaque client indiqué ci-dessous :</t>
  </si>
  <si>
    <t>Stock de clôture</t>
  </si>
  <si>
    <t>Non Imputé</t>
  </si>
  <si>
    <t>Dans le tableau ci-dessous, « Erreur » signifie que le total des ventes des cinq principaux clients de votre entreprise pour cette période dépasse le total des ventes nationales de votre entreprise pour cette période. Par conséquent, veuillez modifier les données ci-dessus.</t>
  </si>
  <si>
    <t>Stock de clôture des marchandises en cours de fabrication</t>
  </si>
  <si>
    <t>Si votre entreprise souhaite formuler des allégations de préjudice spécifique à un client pour lequel elle estime que les marchandises en cause lui ont fait perdre des clients, perdre certaines ventes à un client ou réduire ou supprimer les prix pour conserver les ventes, veuillez fournir les informations demandées ci-dessous.</t>
  </si>
  <si>
    <t>Niveau commercial (LD)</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</si>
  <si>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</si>
  <si>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</si>
  <si>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</si>
  <si>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Related firms</t>
  </si>
  <si>
    <t>Entreprises affiliées</t>
  </si>
  <si>
    <t>Subject Countries (incl. French pronouns)</t>
  </si>
  <si>
    <t>Additional Product Info</t>
  </si>
  <si>
    <t>Analyst 1</t>
  </si>
  <si>
    <t>Analyst 2</t>
  </si>
  <si>
    <t>Unit of measure (plural)</t>
  </si>
  <si>
    <t>Unit of measure (singular)</t>
  </si>
  <si>
    <t>distributors</t>
  </si>
  <si>
    <t>distributeurs</t>
  </si>
  <si>
    <t>Benchmark Product 1</t>
  </si>
  <si>
    <t>Benchmark Product 2</t>
  </si>
  <si>
    <t>Benchmark Product 3</t>
  </si>
  <si>
    <t>Benchmark Product 4</t>
  </si>
  <si>
    <t>Benchmark Product 5</t>
  </si>
  <si>
    <t>Benchmark Product 6</t>
  </si>
  <si>
    <t>Benchmark Product 7</t>
  </si>
  <si>
    <t>Benchmark Product 8</t>
  </si>
  <si>
    <t>Important notes for formatting</t>
  </si>
  <si>
    <t>Insert and merge rows where needed to expand height of text boxes.</t>
  </si>
  <si>
    <t>INTRODUCTION</t>
  </si>
  <si>
    <t>LANGUAGE PREFERENCE | PRÉFÉRENCE LINGUISTIQUE</t>
  </si>
  <si>
    <t>DEFINITION OF "THE GOODS"</t>
  </si>
  <si>
    <t>LA DÉFINITION "DES MARCHANDISES"</t>
  </si>
  <si>
    <t>DO YOU NEED TO COMPLETE THIS QUESTIONNAIRE?</t>
  </si>
  <si>
    <t>Instructions</t>
  </si>
  <si>
    <t>N/A</t>
  </si>
  <si>
    <t>FAILURE TO COMPLETE QUESTIONNAIRE</t>
  </si>
  <si>
    <t>QUESTIONNAIRE NON REMPLI</t>
  </si>
  <si>
    <t>QUESTIONS</t>
  </si>
  <si>
    <t>QUESTIONNAIRE À L’INTENTION DES PRODUCTEURS</t>
  </si>
  <si>
    <t>QUESTIONNAIRE OUTLINE</t>
  </si>
  <si>
    <t>APERÇU DU QUESTIONNAIRE</t>
  </si>
  <si>
    <t>La valeur de vos ventes après déduction des escomptes au comptant, des remises sur quantité et des escomptes reportés, des rabais, des taxes, des ristournes et des primes, qu’ils soient indiqués ou non sur la facture. Incluez le coût de livraison.</t>
  </si>
  <si>
    <t>The value of your sales after the deduction of returns, allowances for damaged or missing goods and any discounts, rebates and incentives offered.</t>
  </si>
  <si>
    <t>La valeur de vos ventes après déduction des retours, rabais pour marchandises endommagées ou manquantes et tous rabais, escomptes et incitatifs offerts.</t>
  </si>
  <si>
    <t>GENERAL FIRM INFORMATION</t>
  </si>
  <si>
    <t>INFORMATIONS GÉNÉRALES SUR L'ENTREPRISE</t>
  </si>
  <si>
    <t>PRODUCTION AND CAPACITY</t>
  </si>
  <si>
    <t>PRODUCTION ET CAPACITÉ</t>
  </si>
  <si>
    <t>MARKET CHARACTERISTICS OF THE GOODS</t>
  </si>
  <si>
    <t>CARACTÉRISTIQUES DU MARCHÉ DES MARCHANDISES</t>
  </si>
  <si>
    <t>SALES</t>
  </si>
  <si>
    <t>VENTES</t>
  </si>
  <si>
    <t>MARKETS</t>
  </si>
  <si>
    <t>MARCHÉS</t>
  </si>
  <si>
    <t>PROTECTED</t>
  </si>
  <si>
    <t>PROTÉGÉ</t>
  </si>
  <si>
    <t>SALES AND INVENTORIES</t>
  </si>
  <si>
    <t>VENTES ET STOCKS</t>
  </si>
  <si>
    <t>REGIONAL SALES</t>
  </si>
  <si>
    <t>VENTES RÉGIONALES</t>
  </si>
  <si>
    <t>• Report only sales of your firm’s production in Canada. Sales of goods purchased from other Canadian producers should be excluded.</t>
  </si>
  <si>
    <t xml:space="preserve">• Indiquez seulement les ventes effectuées à partir de la production de votre entreprise au Canada. Les ventes de marchandises achetées auprès d’autres producteurs canadiens doivent être exclues. </t>
  </si>
  <si>
    <t>GLOSSARY</t>
  </si>
  <si>
    <t>GLOSSAIRE</t>
  </si>
  <si>
    <t>PRODUCTION AND SALES</t>
  </si>
  <si>
    <t>PRODUCTION ET VENTES</t>
  </si>
  <si>
    <t>GENERAL</t>
  </si>
  <si>
    <t>GÉNÉRAL</t>
  </si>
  <si>
    <t/>
  </si>
  <si>
    <t>The undersigned certifies that the information supplied herein is complete and correct to the best of their knowledge and belief.</t>
  </si>
  <si>
    <t>Le soussigné déclare que, pour autant qu’il sache, les renseignements fournis aux présentes sont complets et exacts.</t>
  </si>
  <si>
    <t>2. Par courriel à l’adresse tcce-citt@tribunal.gc.ca si vous acceptez les risques connexes et vous transmettez des renseignements qui sont ceux de votre entreprise seulement.</t>
  </si>
  <si>
    <t>Complete the following table for your firm's Canadian production of the goods and other goods produced on the same equipment. 
Note, other products produced on the same equipment are any other products besides the goods as defined in the "Intro" tab that are produced using the same equipment.</t>
  </si>
  <si>
    <t>Event</t>
  </si>
  <si>
    <t>Événement</t>
  </si>
  <si>
    <t>Sélectionnez oui ou non</t>
  </si>
  <si>
    <t>NEGATIVE EFFECTS OF IMPORTS</t>
  </si>
  <si>
    <t>EFFETS NÉGATIFS DES IMPORTATIONS</t>
  </si>
  <si>
    <t>Yes</t>
  </si>
  <si>
    <t>No</t>
  </si>
  <si>
    <t>Oui</t>
  </si>
  <si>
    <t>Non</t>
  </si>
  <si>
    <t>Drop down lists (MODIFY AS PER CASE SPECIFICS)</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</si>
  <si>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</si>
  <si>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</si>
  <si>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Question 27</t>
  </si>
  <si>
    <t>Intro, Pro4 Question 1</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</si>
  <si>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</si>
  <si>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SALES IN CANADA OF DOMESTIC PRODUCTION OF BENCHMARK PRODUCTS</t>
  </si>
  <si>
    <t>VENTES AU CANADA DE LA PRODUCTION NATIONALE DE PRODUITS DE RÉFÉRENCE</t>
  </si>
  <si>
    <t>DEVEZ-VOUS REMPLIR CE QUESTIONNAIRE?</t>
  </si>
  <si>
    <t>Remplir le tableau suivant pour les ventes et les stocks des marchandises par votre entreprise.</t>
  </si>
  <si>
    <t>les pays sujets</t>
  </si>
  <si>
    <t xml:space="preserve">Your firm handles delivery, and the cost is built into the price. </t>
  </si>
  <si>
    <t xml:space="preserve">The purchaser arranges and pays for delivery directly. </t>
  </si>
  <si>
    <t xml:space="preserve">Your firm handles delivery, but charges the purchaser separately for it. </t>
  </si>
  <si>
    <t>La livraison et ses frais sont pris en charge par l’acheteur.</t>
  </si>
  <si>
    <t>Votre entreprise s'occupe de la livraison mais les frais de livraison sont facturés séparément à l’acheteur.</t>
  </si>
  <si>
    <t>Votre entreprise s'occupe de la livraison et les frais de livraison sont inclus dans le prix de vente.</t>
  </si>
  <si>
    <t>Si le volume du stock de clôture à la question 1 sur l'onglet Pro 2 diffère du stock de clôture calculé, expliquez pourquoi il y a une différence.</t>
  </si>
  <si>
    <t>Importe les marchandises de n’importe quel pays en tant qu’importateur officiel</t>
  </si>
  <si>
    <t>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t>
  </si>
  <si>
    <t xml:space="preserve">Des coûts directs associés à la production des marchandises vendues par une entreprise. Ce montant comprend les coûts directement liés à la production des marchandises, comme les coûts pour la main-d'œuvre, la matière première et les frais indirects de fabrication (Coût des marchandises fabriquées). Sont exclues les dépenses indirectes telles que les frais de distribution et les coûts liés à la force de vente. </t>
  </si>
  <si>
    <t>Type d'affiliation</t>
  </si>
  <si>
    <t>Indiquez dans quels segments de marché ces marchandises sont vendues.</t>
  </si>
  <si>
    <t>Remplir le tableau suivant pour la production des marchandises par votre entreprise et d'autres produits fabriqués sur le même équipement au Canada. 
Remarque : les autres produits fabriqués sur le même équipement sont tous les autres produits autres que les marchandises définies dans l'onglet « Intro » qui sont fabriqués à l'aide du même équipement.</t>
  </si>
  <si>
    <t>Volume de production par heure d'emploi direct travaillée</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</si>
  <si>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</si>
  <si>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</si>
  <si>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</si>
  <si>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</si>
  <si>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</si>
  <si>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Describe "Other expenses".</t>
  </si>
  <si>
    <t>Décrire les "Autres dépenses".</t>
  </si>
  <si>
    <t>Explain any large changes between periods and any irregularities such as negative amounts in the amounts reported above.</t>
  </si>
  <si>
    <t>Does the total ending inventory reported in this question differ from the total ending inventory reported in question 1 of the Pro 2 tab?</t>
  </si>
  <si>
    <t>Note - The following amounts are calculated using the above responses and the production volume in question 1 of the Pro 1 tab. If the amounts are incorrect, modify your responses to the previous questions.</t>
  </si>
  <si>
    <t>Remarque - Les montants suivants sont basés sur les réponses fournies çi-dessus et à la question 1 dans l'onglet Pro 1. Si les montants sont incorrects, modifiez vos réponses aux questions précédentes.</t>
  </si>
  <si>
    <t>Pro 3, Question 9</t>
  </si>
  <si>
    <t>Yes, modify the amounts or explain below.</t>
  </si>
  <si>
    <t>When adding or modifying columns, please ensure the total of all column widths in a tab equals 1760 pixels to allow for consistent scaling when exported to PDF.</t>
  </si>
  <si>
    <t>i.e. columns B-L should be 160 pixels each.</t>
  </si>
  <si>
    <t>Using data provided in Question 1 on the Pro 1 and Pro 2 tabs, the questionnaire calculates ending inventory as follows:</t>
  </si>
  <si>
    <t>En utilisant les données fournies à la question 1 des onglets Pro 1 et Pro 2, le questionnaire calcule le stock de clôture comme suit :</t>
  </si>
  <si>
    <t>hiddenc</t>
  </si>
  <si>
    <t>Delivery costs</t>
  </si>
  <si>
    <t>Coûts de livraison</t>
  </si>
  <si>
    <t>The freight, handling, and insurance incurred by your firm from the point of direct shipment in Canada and included in the selling price or an estimate of such delivery costs incurred by your customers.</t>
  </si>
  <si>
    <t>Le fret, manutention et assurance, engagés par votre entreprise à partir du point d’expédition direct au Canada, et qui sont compris dans le prix de vente, ou une estimation des coûts de livraison engagés par vos clients.</t>
  </si>
  <si>
    <t>The value of your sales net of all discounts (cash, quantity or deferred), allowances, taxes, rebates and incentives, whether or not shown on the invoice. It includes all delivery costs.</t>
  </si>
  <si>
    <t xml:space="preserve">Costs that are directly tied to the production of the goods, such as the cost of labour, materials, and manufacturing overhead. It excludes indirect expenses such as distribution costs and sales force costs. </t>
  </si>
  <si>
    <t xml:space="preserve">Les coûts directement liés à la production des marchandises, comme les coûts pour la main-d'œuvre, la matière première et les frais indirects de fabrication. Sont exclues les dépenses indirectes telles que les frais de distribution et les coûts liés à la force de vente. </t>
  </si>
  <si>
    <t>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t>
  </si>
  <si>
    <t>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</si>
  <si>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The labour costs of plant personnel such as supervisors, superintendents and quality control employees, but does not include sales and administrative personnel.</t>
  </si>
  <si>
    <t>Les coûts de main-d'œuvre du personnel des usines, comme les surveillants, les chefs d’usine et les préposés au contrôle de la qualité, mais exclus le personnel de vente et d’administration.</t>
  </si>
  <si>
    <t>Does the net sales value (For Sale in Canada) reported in this question differ from the net delivered selling values (For Sale in Canada) reported in question 1 of the Pro 2 tab?</t>
  </si>
  <si>
    <t>Does the net sales value (For Export Sales) reported in this question differ from the net delivered selling values (For Export Sales) reported in question 1 of the Pro 2 tab?</t>
  </si>
  <si>
    <t>La valeur des ventes nettes (pour les ventes au Canada) déclarée dans cette question diffère-t-elle des valeurs des ventes nettes rendues déclarées (pour les ventes au Canada) à la question 1 de l'onglet Pro 2?</t>
  </si>
  <si>
    <t>La valeur des ventes nettes (pour les ventes à l'exportation) déclarée dans cette question diffère-t-elle des valeurs des ventes nettes rendues déclarées (pour les ventes à l'exportation) à la question 1 de l'onglet Pro 2?</t>
  </si>
  <si>
    <t>Verification - volume</t>
  </si>
  <si>
    <t>Vérification - volume</t>
  </si>
  <si>
    <t>Verification - value</t>
  </si>
  <si>
    <t>Vérification - valeur</t>
  </si>
  <si>
    <t>volume - total domestic sales of domestic production to the top five accounts (Question 14)</t>
  </si>
  <si>
    <t>volume - total domestic sales of domestic production (Question 1)</t>
  </si>
  <si>
    <t>Error</t>
  </si>
  <si>
    <t>Erreur</t>
  </si>
  <si>
    <t>Okay</t>
  </si>
  <si>
    <t>Correct</t>
  </si>
  <si>
    <t>Pro 2 tab, Questions 14, 15</t>
  </si>
  <si>
    <t>Verification Tables (MODIFY AS PER CASE SPECIFICS)</t>
  </si>
  <si>
    <t>value - total domestic sales of domestic production to the top five accounts (Question 14)</t>
  </si>
  <si>
    <t>volume - total des ventes au Canada de la production nationale aux cinq principaux clients (Question 14)</t>
  </si>
  <si>
    <t>volume - total des ventes au Canada de la production nationale (Question 1)</t>
  </si>
  <si>
    <t>value - total domestic sales of domestic production (Question 1)</t>
  </si>
  <si>
    <t>valeur - total des ventes au Canada de la production nationale aux cinq principaux clients (Question 14)</t>
  </si>
  <si>
    <t>valeur - total des ventes au Canada de la production nationale (Question 1)</t>
  </si>
  <si>
    <t>volume - total domestic sales of domestic production of benchmark products (Question 15)</t>
  </si>
  <si>
    <t>volume - total des ventes au Canada de la production nationale de produits de référence (Question 15)</t>
  </si>
  <si>
    <t>valeur - total domestic sales of domestic production of benchmark products (Question 15)</t>
  </si>
  <si>
    <t>valeur - total des ventes au Canada de la production nationale de produits de référence (Question 15)</t>
  </si>
  <si>
    <t>valeur - total domestic sales of domestic production (Question 1)</t>
  </si>
  <si>
    <t>Number of hours worked</t>
  </si>
  <si>
    <t>Beginning inventory - do not include production for internal use or further internal processing</t>
  </si>
  <si>
    <t>Stock d'ouverture - ne pas inclure la production utilisée à l'interne ou destinée à la transformation ultérieure à l’interne</t>
  </si>
  <si>
    <t>Ending inventory - do not include production for internal use or further internal processing</t>
  </si>
  <si>
    <t>Stock de clôture - ne pas inclure la production utilisée à l'interne ou destinée à la transformation ultérieure à l’interne</t>
  </si>
  <si>
    <t>Le stock de clôture combiné déclaré dans cette question diffère-t-il du stock de clôture total déclaré à la question 1 de l'onglet Pro 2?</t>
  </si>
  <si>
    <t>Select all that apply</t>
  </si>
  <si>
    <t>Sélectionnez toutes les réponses qui s'appliquent</t>
  </si>
  <si>
    <t>Benchmark Period 1</t>
  </si>
  <si>
    <t>Benchmark Period 2</t>
  </si>
  <si>
    <t>Benchmark Period 3</t>
  </si>
  <si>
    <t>Benchmark Period 4</t>
  </si>
  <si>
    <t>Benchmark Period 5</t>
  </si>
  <si>
    <t>Benchmark Period 6</t>
  </si>
  <si>
    <t>Benchmark Period 7</t>
  </si>
  <si>
    <t>Benchmark Period 8</t>
  </si>
  <si>
    <t>Last Quarter of POI (ie. 1, 2, 3, 4)</t>
  </si>
  <si>
    <t>Verification Period 1</t>
  </si>
  <si>
    <t>Verification Period 2</t>
  </si>
  <si>
    <t>Verification Period 3 (if applicable)</t>
  </si>
  <si>
    <t>q1</t>
  </si>
  <si>
    <t>q2</t>
  </si>
  <si>
    <t>q3</t>
  </si>
  <si>
    <t>q4</t>
  </si>
  <si>
    <t>jan-mar</t>
  </si>
  <si>
    <t>jan-jun</t>
  </si>
  <si>
    <t>jan-sep</t>
  </si>
  <si>
    <t>jan-dec</t>
  </si>
  <si>
    <t>jan</t>
  </si>
  <si>
    <t>feb</t>
  </si>
  <si>
    <t>mar</t>
  </si>
  <si>
    <t>apr</t>
  </si>
  <si>
    <t>may</t>
  </si>
  <si>
    <t>jun</t>
  </si>
  <si>
    <t>jul</t>
  </si>
  <si>
    <t>aug</t>
  </si>
  <si>
    <t>sep</t>
  </si>
  <si>
    <t>oct</t>
  </si>
  <si>
    <t>nov</t>
  </si>
  <si>
    <t>dec</t>
  </si>
  <si>
    <t>due month</t>
  </si>
  <si>
    <t>3 months prior</t>
  </si>
  <si>
    <t>last poi</t>
  </si>
  <si>
    <t>Calculated ending inventory</t>
  </si>
  <si>
    <t>Stock de clôture calculé</t>
  </si>
  <si>
    <t>Difference between the reported ending inventory in Question 1 above and the calculated ending inventory</t>
  </si>
  <si>
    <t>Différence entre le stock de clôture déclaré à la question 1 ci-dessus et le stock de clôture calculé</t>
  </si>
  <si>
    <t>Does the total net sales value reported in this question exceed your firm's total net sales value reported in question 10 in this tab?</t>
  </si>
  <si>
    <t>Describe how your firm allocated the following expenses in your response to the income statements provided in Question 5 of this tab:</t>
  </si>
  <si>
    <t>Décrivez comment votre entreprise a réparti les dépenses suivantes dans votre réponse aux états de résultats fournis à la question 5 de cet onglet :</t>
  </si>
  <si>
    <t>La valeur totale des ventes nettes déclarée dans cette question dépasse-t-elle la valeur totale des ventes nettes de votre entreprise déclarée à la question 10 de cet onglet?</t>
  </si>
  <si>
    <t>Total sales in Canada</t>
  </si>
  <si>
    <t>Ventes totales au Canada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</si>
  <si>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</si>
  <si>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</si>
  <si>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From your total net delivered sales in Canada (reported in Question 1), what percentage was delivery costs?</t>
  </si>
  <si>
    <t xml:space="preserve">Parmi vos ventes nettes livrées totales au Canada (déclarées à la question 1), quel pourcentage représentait les frais de livraison? </t>
  </si>
  <si>
    <t>Provide your firm's domestic sales volumes of the goods produced in Canada by region.</t>
  </si>
  <si>
    <t>Fournissez les volumes des ventes nationales des marchandises fabriquées au Canada par votre entreprise, par région.</t>
  </si>
  <si>
    <t>China</t>
  </si>
  <si>
    <t>la Chine</t>
  </si>
  <si>
    <t>Jan-Mar 2025</t>
  </si>
  <si>
    <t>janv.-mars 2025</t>
  </si>
  <si>
    <t>Jan-Mar 2026</t>
  </si>
  <si>
    <t>janv.-mars 2026</t>
  </si>
  <si>
    <t>Nicole Lalonde</t>
  </si>
  <si>
    <t xml:space="preserve">nicole.lalonde@tribunal.gc.ca </t>
  </si>
  <si>
    <t>Paula Place</t>
  </si>
  <si>
    <t>paula.place@tribunal.gc.ca</t>
  </si>
  <si>
    <t>https://www.cbsa-asfc.gc.ca/sima-lmsi/i-e/ubc2026/ubc2026-in-eng.html#3-2</t>
  </si>
  <si>
    <t>dumping and the subsidizing</t>
  </si>
  <si>
    <t>le dumping et le subventionnement </t>
  </si>
  <si>
    <r>
      <t xml:space="preserve">8544.49.00.19 • 8544.49.00.90 </t>
    </r>
    <r>
      <rPr>
        <b/>
        <sz val="10.5"/>
        <color theme="1"/>
        <rFont val="Calibri"/>
        <family val="2"/>
        <scheme val="minor"/>
      </rPr>
      <t>• 7408.11.10.00 • 7408.19.00.10</t>
    </r>
    <r>
      <rPr>
        <sz val="10.5"/>
        <color theme="1"/>
        <rFont val="Calibri"/>
        <family val="2"/>
        <scheme val="minor"/>
      </rPr>
      <t xml:space="preserve"> • 7605.29.00.00 • 7614.90.00.00</t>
    </r>
  </si>
  <si>
    <t>metres</t>
  </si>
  <si>
    <t>mètres</t>
  </si>
  <si>
    <t>metre</t>
  </si>
  <si>
    <t>mètre</t>
  </si>
  <si>
    <t>343-574-8274</t>
  </si>
  <si>
    <t>343-574-3196</t>
  </si>
  <si>
    <t>Expliquez toute variation importante entre les périodes et toute irrégularité tels que des montants négatifs dans les montants indiqués ci-dessus.</t>
  </si>
  <si>
    <t>Total - Materials</t>
  </si>
  <si>
    <t>Total - matériaux</t>
  </si>
  <si>
    <t>COST OF GOODS MANUFACTURED - FOR THE GOODS ONLY</t>
  </si>
  <si>
    <t>INCOME STATEMENT - FOR THE GOODS ONLY</t>
  </si>
  <si>
    <t>INCOME STATEMENT  - FOR TOTAL FIRM</t>
  </si>
  <si>
    <t>ÉTAT DES RÉSULTATS - POUR L'ENSEMBLE DE L'ENTREPRISE</t>
  </si>
  <si>
    <t>Oui, modifiez les données ou expliquez ci-dessous.</t>
  </si>
  <si>
    <t>retailers/end users</t>
  </si>
  <si>
    <t>détaillants/utilisateurs finals</t>
  </si>
  <si>
    <t>English:</t>
  </si>
  <si>
    <t>Français:</t>
  </si>
  <si>
    <t>https://www.cbsa-asfc.gc.ca/sima-lmsi/i-e/ubc2026/ubc2026-in-fra.html#3-2</t>
  </si>
  <si>
    <t>Q2-Q4 2024</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</si>
  <si>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</si>
  <si>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</si>
  <si>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COÛT DES MARCHANDISES FABRIQUÉES - POUR LES MARCHANDISES SEULEMENT</t>
  </si>
  <si>
    <t>ÉTAT DES RÉSULTATS - POUR LES MARCHANDISES SEULEMENT</t>
  </si>
  <si>
    <t>unarmoured building cables</t>
  </si>
  <si>
    <t>câbles de bâtiments non armés</t>
  </si>
  <si>
    <t>August 20, 2026</t>
  </si>
  <si>
    <t>20 août 2026</t>
  </si>
  <si>
    <t>No. 1 - NMD90 14/3</t>
  </si>
  <si>
    <t>No. 2 - NMD90 14/2</t>
  </si>
  <si>
    <t>No. 3 - NMD90 12/2</t>
  </si>
  <si>
    <t>No. 4 - NMD90 10/3</t>
  </si>
  <si>
    <t>No. 5 - NMD90 8/3</t>
  </si>
  <si>
    <t>No. 6 - NMD90 6/3</t>
  </si>
  <si>
    <t>N° 1 - NMD90 14/3</t>
  </si>
  <si>
    <t>N° 2 - NMD90 14/2</t>
  </si>
  <si>
    <t>N° 3 - NMD90 12/2</t>
  </si>
  <si>
    <t>N° 4 - NMD90 10/3</t>
  </si>
  <si>
    <t>N° 5 - NMD90 8/3</t>
  </si>
  <si>
    <t>N° 6 - NMD90 6/3</t>
  </si>
  <si>
    <t>Collapsed Respondent Name</t>
  </si>
  <si>
    <t>Tab in Q</t>
  </si>
  <si>
    <t>Countries - Q</t>
  </si>
  <si>
    <t>Exporter - Q</t>
  </si>
  <si>
    <t>Subject &amp; NS #</t>
  </si>
  <si>
    <t>Other
Countries</t>
  </si>
  <si>
    <t>Market Segment</t>
  </si>
  <si>
    <t>POID</t>
  </si>
  <si>
    <t xml:space="preserve">- </t>
  </si>
  <si>
    <t>2 - End user/Retailers</t>
  </si>
  <si>
    <t>VOL  - 2023</t>
  </si>
  <si>
    <t>VOL  - 2024</t>
  </si>
  <si>
    <t>VOL  - 2025</t>
  </si>
  <si>
    <t>VOL - Q  - 
2025</t>
  </si>
  <si>
    <t>VOL  - Q
2026</t>
  </si>
  <si>
    <t>VAL  - 2023</t>
  </si>
  <si>
    <t>VAL  - 2024</t>
  </si>
  <si>
    <t>VAL  - 2025</t>
  </si>
  <si>
    <t>VAL  - Q
2025</t>
  </si>
  <si>
    <t>VAL  - Q
2026</t>
  </si>
  <si>
    <t>UV  - 2023</t>
  </si>
  <si>
    <t>UV  - 2024</t>
  </si>
  <si>
    <t>UV  - 2025</t>
  </si>
  <si>
    <t>UV  - Q
2025</t>
  </si>
  <si>
    <t>UV  - Q
2026</t>
  </si>
  <si>
    <t>DEL  - 2023</t>
  </si>
  <si>
    <t>DEL  - 2024</t>
  </si>
  <si>
    <t>DEL  - 2025</t>
  </si>
  <si>
    <t>DEL  - Q
2025</t>
  </si>
  <si>
    <t>DEL  - Q
2026</t>
  </si>
  <si>
    <t>Company:</t>
  </si>
  <si>
    <t>Respondent Type:</t>
  </si>
  <si>
    <t>Activity:</t>
  </si>
  <si>
    <t>Country:</t>
  </si>
  <si>
    <t>Subject/Non:</t>
  </si>
  <si>
    <t>Other Country:</t>
  </si>
  <si>
    <t>Trade Level:</t>
  </si>
  <si>
    <t>Sales To:</t>
  </si>
  <si>
    <t xml:space="preserve">Domestic Producer   |  Producteur national </t>
  </si>
  <si>
    <t>Sales to | Ventes à</t>
  </si>
  <si>
    <t>Distributors  |  Distributeurs</t>
  </si>
  <si>
    <t>End users  |  Utilisateurs finals</t>
  </si>
  <si>
    <t>Export Sales |  Ventes à l'exportation</t>
  </si>
  <si>
    <t>I 2025</t>
  </si>
  <si>
    <t>I 2026</t>
  </si>
  <si>
    <t>DOMESTIC SALES  |  VENTES NATIONALES</t>
  </si>
  <si>
    <t xml:space="preserve">EXPORT SALES  |  VENTES À L'EXPORTATION </t>
  </si>
  <si>
    <t>Coût des marchandises fabriquées¹</t>
  </si>
  <si>
    <t xml:space="preserve">Volume des marchandises fabriquées </t>
  </si>
  <si>
    <t>000 $</t>
  </si>
  <si>
    <t>Matériaux directs utilisés</t>
  </si>
  <si>
    <t>Coûts indirects de production</t>
  </si>
  <si>
    <t>Moins : Stock de clôture</t>
  </si>
  <si>
    <t>État des résultats</t>
  </si>
  <si>
    <t>Valeur des ventes nettes</t>
  </si>
  <si>
    <t>Marge bénéficiaire brute (pertes)</t>
  </si>
  <si>
    <t>Frais généraux, de vente et d’administration</t>
  </si>
  <si>
    <t>Revenus nets (pertes) avant impôt</t>
  </si>
  <si>
    <t>Note(s):</t>
  </si>
  <si>
    <t>1. The data may not balance, as the beginning and ending inventories of goods in process are not shown.  |  
Les données pourraient ne pas s'équilibrer puisque les stocks d'ouverture et de clôture des marchandises en cours de fabrication ne figurent pas dans le tableau.</t>
  </si>
  <si>
    <t>Source: Reply to CITT questionnaire.  |  Réponse au questionnaire du TCCE.</t>
  </si>
  <si>
    <t>TOTAL FIRM  |  TOTAL ENTERPRISE</t>
  </si>
  <si>
    <t>For domestic sales</t>
  </si>
  <si>
    <t>Pour les ventes nationales</t>
  </si>
  <si>
    <t>For export sales</t>
  </si>
  <si>
    <t xml:space="preserve">Pour les ventes à l'exportation </t>
  </si>
  <si>
    <t>For further internal processing</t>
  </si>
  <si>
    <t xml:space="preserve">Pour la transformation ultérieure
</t>
  </si>
  <si>
    <t>Autres marchandises produites sur le même équipement</t>
  </si>
  <si>
    <t>Capacity utilization rate (%)</t>
  </si>
  <si>
    <t>Taux d'utilisation de la capacité (%)</t>
  </si>
  <si>
    <t>Domestic sales of domestic production</t>
  </si>
  <si>
    <t>Ventes nationales de la production nationale</t>
  </si>
  <si>
    <t>Total - Valeur (000 $)</t>
  </si>
  <si>
    <t>Total - Valeur unitaire ($/tonne)</t>
  </si>
  <si>
    <t xml:space="preserve">Ventes à l'exportation </t>
  </si>
  <si>
    <t>Total - Number of employees</t>
  </si>
  <si>
    <t>Total - Nombre d'employés</t>
  </si>
  <si>
    <t>Hours worked (000)</t>
  </si>
  <si>
    <t>Nombre d'heures travaillées (000)</t>
  </si>
  <si>
    <t>Salaires (000 $)</t>
  </si>
  <si>
    <t>Stocks</t>
  </si>
  <si>
    <t>Projected  |  Prévisions</t>
  </si>
  <si>
    <t>Investments ($000)</t>
  </si>
  <si>
    <t>Investissements (000 $)</t>
  </si>
  <si>
    <t>$/tonne manufactured | $/tonne fabriquée</t>
  </si>
  <si>
    <t>Material</t>
  </si>
  <si>
    <t>Matériaux</t>
  </si>
  <si>
    <t>TOTAL</t>
  </si>
  <si>
    <t>All other direct materials used</t>
  </si>
  <si>
    <t>Return on investment  | 
Rendement du capital investi</t>
  </si>
  <si>
    <t>Growth  | 
Croissance</t>
  </si>
  <si>
    <t>Ability to raise capital   | 
Capacité de réunir des capitaux</t>
  </si>
  <si>
    <t xml:space="preserve">Production Development Efforts  | 
Projets de développement de la production </t>
  </si>
  <si>
    <t>Hours worked | 
Le nombre d’heures de travail</t>
  </si>
  <si>
    <t>Employees’ wages | 
Les salaires de vos employés</t>
  </si>
  <si>
    <t>Pension plans | 
Le régime de pension</t>
  </si>
  <si>
    <t>Benefits | 
Les avantages sociaux</t>
  </si>
  <si>
    <t>Worker training and safety | 
La formation et la sécurité des travailleurs</t>
  </si>
  <si>
    <t>Other relevant factors | 
Autres facteurs pertinents ¹</t>
  </si>
  <si>
    <t>Source: Replies to CITT questionnaires.  |  Réponses aux questionnaires du TCCE.</t>
  </si>
  <si>
    <t>% DISTRIBUTION</t>
  </si>
  <si>
    <t>Producer</t>
  </si>
  <si>
    <t>Tab in Q.</t>
  </si>
  <si>
    <t>Net sales volume (metres)</t>
  </si>
  <si>
    <t>Volume de ventes nettes (mètres)</t>
  </si>
  <si>
    <t>Metres</t>
  </si>
  <si>
    <t>$/metres</t>
  </si>
  <si>
    <t>Mètres</t>
  </si>
  <si>
    <t>$/mètres</t>
  </si>
  <si>
    <t>Jan. - Mar.  |  janv. - mars</t>
  </si>
  <si>
    <t>Practical plant capacity (metres)</t>
  </si>
  <si>
    <t>Production (metres)</t>
  </si>
  <si>
    <t>Total - Volume (metres)</t>
  </si>
  <si>
    <t>Capacité pratique des usines (mètres)</t>
  </si>
  <si>
    <t>Production (mètres)</t>
  </si>
  <si>
    <t>Total - Volume (mètres)</t>
  </si>
  <si>
    <t>Metres / employee (direct)</t>
  </si>
  <si>
    <t>Metres / hour worked (direct)</t>
  </si>
  <si>
    <t>Mètres / employé (direct)</t>
  </si>
  <si>
    <t>Mètres / heure travaillée (direct)</t>
  </si>
  <si>
    <t>Collapsed Respondent</t>
  </si>
  <si>
    <t>Product Name</t>
  </si>
  <si>
    <t>Product #</t>
  </si>
  <si>
    <t>Q2  |  T2 2024 VOL</t>
  </si>
  <si>
    <t>Q3  |  T3 2024 VOL</t>
  </si>
  <si>
    <t>Q4  |  T4 2024 VOL</t>
  </si>
  <si>
    <t>Q1  |  T1 2025 VOL</t>
  </si>
  <si>
    <t>Q2  |  T2 2024 VAL</t>
  </si>
  <si>
    <t>Q3  |  T3 2024 VAL</t>
  </si>
  <si>
    <t>Q4  |  T4 2024 VAL</t>
  </si>
  <si>
    <t>Q1  |  T1 2025 VAL</t>
  </si>
  <si>
    <t>Q2  |  T2 2024 UV</t>
  </si>
  <si>
    <t>Q3  |  T3 2024 UV</t>
  </si>
  <si>
    <t>Q4  |  T4 2024 UV</t>
  </si>
  <si>
    <t>Q1  |  T1 2025 UV</t>
  </si>
  <si>
    <t>Benchmark Product 1  |  Produit de référence 1</t>
  </si>
  <si>
    <t>Benchmark Product 2  |  Produit de référence 2</t>
  </si>
  <si>
    <t>Benchmark Product 3  |  Produit de référence 3</t>
  </si>
  <si>
    <t>Benchmark Product 4  |  Produit de référence 4</t>
  </si>
  <si>
    <t>Benchmark Product 5  |  Produit de référence 5</t>
  </si>
  <si>
    <t>Benchmark Product 6  |  Produit de référence 6</t>
  </si>
  <si>
    <t>NMD90 14/2</t>
  </si>
  <si>
    <t>NMD90 12/2</t>
  </si>
  <si>
    <t>NMD90 14/3</t>
  </si>
  <si>
    <t>NMD90 10/3</t>
  </si>
  <si>
    <t>NMD90 8/3</t>
  </si>
  <si>
    <t>NMD90 6/3</t>
  </si>
  <si>
    <t>Q2  |  T2 2025 VOL</t>
  </si>
  <si>
    <t>Q3  |  T3 2025 VOL</t>
  </si>
  <si>
    <t>Q4  |  T4 2025 VOL</t>
  </si>
  <si>
    <t>Q1  |  T1 2026 VOL</t>
  </si>
  <si>
    <t>Q2  |  T2 2025 VAL</t>
  </si>
  <si>
    <t>Q3  |  T3 2025 VAL</t>
  </si>
  <si>
    <t>Q4  |  T4 2025 VAL</t>
  </si>
  <si>
    <t>Q1  |  T1 2026 VAL</t>
  </si>
  <si>
    <t>Q2  |  T2 2025 UV</t>
  </si>
  <si>
    <t>Q3  |  T3 2025 UV</t>
  </si>
  <si>
    <t>Q4  |  T4 2025 UV</t>
  </si>
  <si>
    <t>Q1  |  T1 2026 UV</t>
  </si>
  <si>
    <t>March 31</t>
  </si>
  <si>
    <t>31 mars</t>
  </si>
  <si>
    <t>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t>
  </si>
  <si>
    <t>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t>
  </si>
  <si>
    <t>NQ-2026-003</t>
  </si>
  <si>
    <t>PRODUCER QUESTIONNAIRE | QUESTIONNAIRE À L’INTENTION DES PRODUCTEURS</t>
  </si>
  <si>
    <t>PRODUCER QUESTIONNAIRE</t>
  </si>
  <si>
    <t>jornette.dangbedji@tribunal.gc.ca</t>
  </si>
  <si>
    <t>Jornette Dangbedji</t>
  </si>
  <si>
    <t>Analyst 3</t>
  </si>
  <si>
    <t>613-408-8743</t>
  </si>
  <si>
    <t>T2-T4 2024</t>
  </si>
  <si>
    <t>Note - Direct wages paid for domestic sales and exports sales are provided by the response in Question 1 above.</t>
  </si>
  <si>
    <t>Remarque - Les salaires directs payés pour les ventes intérieures et les ventes à l'exportation sont fournis par la réponse à la question 1 ci-dessus.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</si>
</sst>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_);_(* \(#,##0\);_(* &quot;-&quot;??_);_(@_)"/>
    <numFmt numFmtId="166" formatCode="_-* #,##0_-;\-* #,##0_-;_-* &quot;-&quot;??_-;_-@_-"/>
    <numFmt numFmtId="167" formatCode="#,##0;\(#,##0\);\-"/>
    <numFmt numFmtId="168" formatCode="&quot;$&quot;#,##0_);[Red]\(&quot;$&quot;#,##0\)"/>
    <numFmt numFmtId="169" formatCode="_(#,##0_);_(\(#,##0\);_(* &quot;-&quot;_);_(_ \ \ \ \ \ \ \ @"/>
  </numFmts>
  <fonts count="60"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sz val="10.5"/>
      <name val="Calibri"/>
      <family val="2"/>
      <scheme val="minor"/>
    </font>
    <font>
      <b/>
      <sz val="10.5"/>
      <color theme="1"/>
      <name val="Calibri"/>
      <family val="2"/>
      <scheme val="minor"/>
    </font>
    <font>
      <b/>
      <sz val="10.5"/>
      <color rgb="FF000000"/>
      <name val="Calibri"/>
      <family val="2"/>
      <scheme val="minor"/>
    </font>
    <font>
      <sz val="10.5"/>
      <color rgb="FF000000"/>
      <name val="Calibri"/>
      <family val="2"/>
      <scheme val="minor"/>
    </font>
    <font>
      <sz val="10.5"/>
      <color theme="0"/>
      <name val="Calibri"/>
      <family val="2"/>
      <scheme val="minor"/>
    </font>
    <font>
      <b/>
      <sz val="10.5"/>
      <name val="Calibri"/>
      <family val="2"/>
      <scheme val="minor"/>
    </font>
    <font>
      <sz val="10"/>
      <color theme="1"/>
      <name val="Calibri"/>
      <family val="2"/>
      <scheme val="minor"/>
    </font>
    <font>
      <sz val="10"/>
      <name val="Times New Roman"/>
      <family val="1"/>
    </font>
    <font>
      <sz val="10"/>
      <color theme="0"/>
      <name val="Calibri"/>
      <family val="2"/>
      <scheme val="minor"/>
    </font>
    <font>
      <sz val="10"/>
      <name val="Arial"/>
      <family val="2"/>
    </font>
    <font>
      <sz val="8"/>
      <name val="Calibri"/>
      <family val="2"/>
      <scheme val="minor"/>
    </font>
    <font>
      <u/>
      <sz val="10.5"/>
      <color rgb="FF0070C0"/>
      <name val="Calibri"/>
      <family val="2"/>
      <scheme val="minor"/>
    </font>
    <font>
      <sz val="10"/>
      <name val="Calibri"/>
      <family val="2"/>
      <scheme val="minor"/>
    </font>
    <font>
      <b/>
      <sz val="10"/>
      <color theme="1"/>
      <name val="Calibri"/>
      <family val="2"/>
      <scheme val="minor"/>
    </font>
    <font>
      <b/>
      <u/>
      <sz val="10"/>
      <name val="Calibri"/>
      <family val="2"/>
      <scheme val="minor"/>
    </font>
    <font>
      <b/>
      <sz val="10"/>
      <color indexed="8"/>
      <name val="Calibri"/>
      <family val="2"/>
      <scheme val="minor"/>
    </font>
    <font>
      <b/>
      <sz val="10"/>
      <name val="Calibri"/>
      <family val="2"/>
      <scheme val="minor"/>
    </font>
    <font>
      <sz val="8"/>
      <name val="Arial"/>
      <family val="2"/>
    </font>
    <font>
      <b/>
      <sz val="10"/>
      <color theme="0"/>
      <name val="Calibri"/>
      <family val="2"/>
      <scheme val="minor"/>
    </font>
    <font>
      <b/>
      <u/>
      <sz val="10"/>
      <color theme="0"/>
      <name val="Calibri"/>
      <family val="2"/>
      <scheme val="minor"/>
    </font>
    <font>
      <sz val="10"/>
      <color theme="4" tint="-0.249977111117893"/>
      <name val="Calibri"/>
      <family val="2"/>
      <scheme val="minor"/>
    </font>
    <font>
      <sz val="10"/>
      <color indexed="8"/>
      <name val="Calibri"/>
      <family val="2"/>
      <scheme val="minor"/>
    </font>
    <font>
      <b/>
      <sz val="10"/>
      <color rgb="FFFF0000"/>
      <name val="Calibri"/>
      <family val="2"/>
      <scheme val="minor"/>
    </font>
    <font>
      <b/>
      <sz val="12"/>
      <name val="Calibri"/>
      <family val="2"/>
      <scheme val="minor"/>
    </font>
    <font>
      <sz val="16"/>
      <color rgb="FF000000"/>
      <name val="Calibri"/>
      <family val="2"/>
      <scheme val="minor"/>
    </font>
    <font>
      <b/>
      <u/>
      <sz val="10.5"/>
      <color theme="1"/>
      <name val="Calibri"/>
      <family val="2"/>
      <scheme val="minor"/>
    </font>
    <font>
      <sz val="10.5"/>
      <color rgb="FF000000"/>
      <name val="Calibri"/>
      <family val="2"/>
    </font>
    <font>
      <u/>
      <sz val="10.5"/>
      <color theme="1"/>
      <name val="Calibri"/>
      <family val="2"/>
      <scheme val="minor"/>
    </font>
    <font>
      <b/>
      <sz val="10.5"/>
      <name val="Calibri"/>
      <family val="2"/>
    </font>
    <font>
      <sz val="10.5"/>
      <color rgb="FFFF0000"/>
      <name val="Calibri"/>
      <family val="2"/>
      <scheme val="minor"/>
    </font>
    <font>
      <b/>
      <sz val="9"/>
      <color indexed="81"/>
      <name val="Tahoma"/>
      <family val="2"/>
    </font>
    <font>
      <sz val="9"/>
      <color theme="1"/>
      <name val="Calibri"/>
      <family val="2"/>
      <scheme val="minor"/>
    </font>
    <font>
      <sz val="9"/>
      <color indexed="81"/>
      <name val="Tahoma"/>
      <family val="2"/>
    </font>
    <font>
      <sz val="12"/>
      <color theme="1"/>
      <name val="Arial"/>
      <family val="2"/>
    </font>
    <font>
      <u/>
      <sz val="11"/>
      <color theme="10"/>
      <name val="Calibri"/>
      <family val="2"/>
      <scheme val="minor"/>
    </font>
    <font>
      <sz val="10"/>
      <color rgb="FF000000"/>
      <name val="Calibri"/>
      <family val="2"/>
      <scheme val="minor"/>
    </font>
    <font>
      <b/>
      <sz val="9"/>
      <color theme="0"/>
      <name val="Calibri Light"/>
      <family val="2"/>
      <scheme val="major"/>
    </font>
    <font>
      <b/>
      <sz val="9"/>
      <color theme="0"/>
      <name val="Calibri"/>
      <family val="2"/>
      <scheme val="minor"/>
    </font>
    <font>
      <b/>
      <sz val="10"/>
      <color theme="0"/>
      <name val="Calibri Light"/>
      <family val="2"/>
      <scheme val="major"/>
    </font>
    <font>
      <b/>
      <u/>
      <sz val="9"/>
      <color theme="0"/>
      <name val="Calibri Light"/>
      <family val="2"/>
      <scheme val="major"/>
    </font>
    <font>
      <b/>
      <sz val="9"/>
      <name val="Calibri"/>
      <family val="2"/>
      <scheme val="minor"/>
    </font>
    <font>
      <sz val="9"/>
      <name val="Calibri"/>
      <family val="2"/>
      <scheme val="minor"/>
    </font>
    <font>
      <b/>
      <u/>
      <sz val="10"/>
      <color theme="0"/>
      <name val="Calibri Light"/>
      <family val="2"/>
      <scheme val="major"/>
    </font>
    <font>
      <b/>
      <sz val="10"/>
      <color rgb="FF000000"/>
      <name val="Calibri"/>
      <family val="2"/>
    </font>
    <font>
      <u/>
      <sz val="10"/>
      <color theme="0"/>
      <name val="Calibri Light"/>
      <family val="2"/>
      <scheme val="major"/>
    </font>
    <font>
      <b/>
      <u/>
      <sz val="10"/>
      <color rgb="FFFF0000"/>
      <name val="Calibri"/>
      <family val="2"/>
      <scheme val="minor"/>
    </font>
    <font>
      <sz val="1"/>
      <name val="Calibri"/>
      <family val="2"/>
      <scheme val="minor"/>
    </font>
    <font>
      <b/>
      <u/>
      <sz val="10"/>
      <color theme="1"/>
      <name val="Calibri"/>
      <family val="2"/>
      <scheme val="minor"/>
    </font>
    <font>
      <sz val="4"/>
      <name val="Calibri"/>
      <family val="2"/>
      <scheme val="minor"/>
    </font>
    <font>
      <b/>
      <u/>
      <sz val="4"/>
      <name val="Calibri"/>
      <family val="2"/>
      <scheme val="minor"/>
    </font>
    <font>
      <b/>
      <sz val="11"/>
      <color theme="1"/>
      <name val="Calibri"/>
      <family val="2"/>
      <scheme val="minor"/>
    </font>
    <font>
      <b/>
      <sz val="11"/>
      <name val="Calibri"/>
      <family val="2"/>
      <scheme val="minor"/>
    </font>
  </fonts>
  <fills count="2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FF"/>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rgb="FF92D050"/>
        <bgColor indexed="64"/>
      </patternFill>
    </fill>
    <fill>
      <patternFill patternType="darkUp">
        <bgColor theme="6" tint="0.39997558519241921"/>
      </patternFill>
    </fill>
    <fill>
      <patternFill patternType="darkUp"/>
    </fill>
    <fill>
      <patternFill patternType="solid">
        <fgColor rgb="FFFFC000"/>
        <bgColor indexed="64"/>
      </patternFill>
    </fill>
    <fill>
      <patternFill patternType="solid">
        <fgColor rgb="FF9BC2E6"/>
        <bgColor indexed="64"/>
      </patternFill>
    </fill>
    <fill>
      <patternFill patternType="solid">
        <fgColor rgb="FFDDEBF7"/>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6"/>
        <bgColor indexed="64"/>
      </patternFill>
    </fill>
    <fill>
      <patternFill patternType="darkUp">
        <bgColor theme="6"/>
      </patternFill>
    </fill>
    <fill>
      <patternFill patternType="darkUp">
        <bgColor theme="0"/>
      </patternFill>
    </fill>
    <fill>
      <patternFill patternType="darkUp">
        <bgColor theme="6" tint="0.79998168889431442"/>
      </patternFill>
    </fill>
  </fills>
  <borders count="100">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right/>
      <top/>
      <bottom style="medium">
        <color indexed="64"/>
      </bottom>
      <diagonal/>
    </border>
    <border>
      <left/>
      <right/>
      <top style="thin">
        <color theme="4"/>
      </top>
      <bottom style="thin">
        <color theme="4"/>
      </bottom>
      <diagonal/>
    </border>
    <border>
      <left style="medium">
        <color indexed="64"/>
      </left>
      <right/>
      <top style="thin">
        <color theme="4"/>
      </top>
      <bottom/>
      <diagonal/>
    </border>
    <border>
      <left/>
      <right/>
      <top style="thin">
        <color theme="1"/>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top style="thin">
        <color theme="4"/>
      </top>
      <bottom style="thin">
        <color theme="4"/>
      </bottom>
      <diagonal/>
    </border>
    <border>
      <left style="medium">
        <color auto="1"/>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auto="1"/>
      </right>
      <top/>
      <bottom style="thin">
        <color indexed="64"/>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theme="1"/>
      </top>
      <bottom style="thin">
        <color theme="4" tint="0.3999755851924192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thin">
        <color theme="4" tint="0.39997558519241921"/>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auto="1"/>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auto="1"/>
      </right>
      <top style="thin">
        <color theme="0" tint="-0.499984740745262"/>
      </top>
      <bottom/>
      <diagonal/>
    </border>
    <border>
      <left/>
      <right style="thin">
        <color theme="0" tint="-0.499984740745262"/>
      </right>
      <top/>
      <bottom/>
      <diagonal/>
    </border>
    <border>
      <left style="thin">
        <color theme="0" tint="-0.499984740745262"/>
      </left>
      <right/>
      <top/>
      <bottom/>
      <diagonal/>
    </border>
    <border>
      <left style="thin">
        <color indexed="64"/>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theme="0" tint="-0.499984740745262"/>
      </left>
      <right style="thin">
        <color theme="0" tint="-0.499984740745262"/>
      </right>
      <top/>
      <bottom style="thin">
        <color auto="1"/>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style="thin">
        <color indexed="64"/>
      </right>
      <top/>
      <bottom style="thin">
        <color auto="1"/>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auto="1"/>
      </right>
      <top style="thin">
        <color theme="0" tint="-0.499984740745262"/>
      </top>
      <bottom style="thin">
        <color indexed="64"/>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top/>
      <bottom style="thin">
        <color indexed="64"/>
      </bottom>
      <diagonal/>
    </border>
    <border>
      <left style="mediumDashed">
        <color indexed="64"/>
      </left>
      <right style="medium">
        <color indexed="64"/>
      </right>
      <top style="medium">
        <color indexed="64"/>
      </top>
      <bottom/>
      <diagonal/>
    </border>
    <border>
      <left/>
      <right style="dashDot">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auto="1"/>
      </right>
      <top/>
      <bottom style="medium">
        <color indexed="64"/>
      </bottom>
      <diagonal/>
    </border>
    <border>
      <left/>
      <right style="dashDot">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theme="0" tint="-0.499984740745262"/>
      </right>
      <top/>
      <bottom style="thin">
        <color indexed="64"/>
      </bottom>
      <diagonal/>
    </border>
  </borders>
  <cellStyleXfs count="11">
    <xf numFmtId="0" fontId="0" fillId="0" borderId="0"/>
    <xf numFmtId="164" fontId="1" fillId="0" borderId="0" applyFont="0" applyFill="0" applyBorder="0" applyAlignment="0" applyProtection="0"/>
    <xf numFmtId="9" fontId="1" fillId="0" borderId="0" applyFont="0" applyFill="0" applyBorder="0" applyAlignment="0" applyProtection="0"/>
    <xf numFmtId="0" fontId="15" fillId="0" borderId="0"/>
    <xf numFmtId="43" fontId="15"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25" fillId="0" borderId="0"/>
    <xf numFmtId="0" fontId="15" fillId="0" borderId="0"/>
    <xf numFmtId="0" fontId="17" fillId="0" borderId="0"/>
    <xf numFmtId="0" fontId="42" fillId="0" borderId="0" applyNumberFormat="0" applyFill="0" applyBorder="0" applyAlignment="0" applyProtection="0"/>
  </cellStyleXfs>
  <cellXfs count="1013">
    <xf numFmtId="0" fontId="0" fillId="0" borderId="0" xfId="0"/>
    <xf numFmtId="0" fontId="7" fillId="2" borderId="0" xfId="0" applyFont="1" applyFill="1" applyAlignment="1">
      <alignment vertical="top"/>
    </xf>
    <xf numFmtId="0" fontId="7" fillId="0" borderId="0" xfId="0" applyFont="1" applyAlignment="1">
      <alignment vertical="top"/>
    </xf>
    <xf numFmtId="0" fontId="9" fillId="0" borderId="0" xfId="0" applyFont="1" applyAlignment="1">
      <alignment vertical="top"/>
    </xf>
    <xf numFmtId="0" fontId="13" fillId="0" borderId="0" xfId="0" applyFont="1" applyAlignment="1">
      <alignment horizontal="left" vertical="top"/>
    </xf>
    <xf numFmtId="0" fontId="2" fillId="0" borderId="0" xfId="0" applyFont="1" applyAlignment="1">
      <alignment vertical="top"/>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horizontal="left" vertical="top"/>
    </xf>
    <xf numFmtId="0" fontId="12" fillId="0" borderId="0" xfId="0" applyFont="1" applyAlignment="1">
      <alignment vertical="top" wrapText="1"/>
    </xf>
    <xf numFmtId="0" fontId="2" fillId="0" borderId="0" xfId="0" applyFont="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8" fillId="0" borderId="0" xfId="0" applyFont="1" applyAlignment="1">
      <alignment vertical="top"/>
    </xf>
    <xf numFmtId="0" fontId="8" fillId="2" borderId="0" xfId="0" applyFont="1" applyFill="1" applyAlignment="1">
      <alignment vertical="top"/>
    </xf>
    <xf numFmtId="0" fontId="6" fillId="0" borderId="0" xfId="0" applyFont="1" applyAlignment="1">
      <alignment vertical="top" wrapText="1"/>
    </xf>
    <xf numFmtId="0" fontId="7" fillId="2" borderId="0" xfId="0" applyFont="1" applyFill="1" applyAlignment="1">
      <alignment vertical="top" wrapText="1"/>
    </xf>
    <xf numFmtId="0" fontId="13" fillId="0" borderId="0" xfId="0" applyFont="1" applyAlignment="1">
      <alignment horizontal="left" vertical="top" wrapText="1"/>
    </xf>
    <xf numFmtId="0" fontId="9" fillId="2" borderId="0" xfId="0" applyFont="1" applyFill="1" applyAlignment="1">
      <alignment vertical="top" wrapText="1"/>
    </xf>
    <xf numFmtId="0" fontId="6" fillId="0" borderId="0" xfId="0" applyFont="1" applyAlignment="1">
      <alignment horizontal="left" vertical="top" wrapText="1"/>
    </xf>
    <xf numFmtId="0" fontId="4" fillId="0" borderId="0" xfId="0" applyFont="1" applyAlignment="1">
      <alignment vertical="top" wrapText="1"/>
    </xf>
    <xf numFmtId="0" fontId="13" fillId="0" borderId="4" xfId="0" applyFont="1" applyBorder="1" applyAlignment="1">
      <alignment horizontal="centerContinuous" vertical="top" wrapText="1"/>
    </xf>
    <xf numFmtId="0" fontId="13"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3" xfId="0" applyFont="1" applyBorder="1" applyAlignment="1">
      <alignment horizontal="centerContinuous" vertical="top" wrapText="1"/>
    </xf>
    <xf numFmtId="0" fontId="4" fillId="3" borderId="0" xfId="0" applyFont="1" applyFill="1" applyAlignment="1">
      <alignment vertical="top" wrapText="1"/>
    </xf>
    <xf numFmtId="1" fontId="11" fillId="0" borderId="0" xfId="1" applyNumberFormat="1" applyFont="1" applyFill="1" applyBorder="1" applyAlignment="1" applyProtection="1">
      <alignment horizontal="right" vertical="top" wrapText="1"/>
    </xf>
    <xf numFmtId="1" fontId="11" fillId="0" borderId="3" xfId="1" applyNumberFormat="1" applyFont="1" applyFill="1" applyBorder="1" applyAlignment="1" applyProtection="1">
      <alignment horizontal="right" vertical="top" wrapText="1"/>
    </xf>
    <xf numFmtId="0" fontId="8" fillId="2" borderId="0" xfId="0" applyFont="1" applyFill="1" applyAlignment="1">
      <alignment vertical="top" wrapText="1"/>
    </xf>
    <xf numFmtId="0" fontId="7" fillId="0" borderId="10" xfId="0" applyFont="1" applyBorder="1" applyAlignment="1">
      <alignment horizontal="centerContinuous" vertical="top" wrapText="1"/>
    </xf>
    <xf numFmtId="0" fontId="7" fillId="0" borderId="8" xfId="0" applyFont="1" applyBorder="1" applyAlignment="1">
      <alignment horizontal="centerContinuous" vertical="top" wrapText="1"/>
    </xf>
    <xf numFmtId="0" fontId="13" fillId="0" borderId="9" xfId="0" applyFont="1" applyBorder="1" applyAlignment="1">
      <alignment horizontal="centerContinuous" vertical="top" wrapText="1"/>
    </xf>
    <xf numFmtId="0" fontId="7" fillId="0" borderId="9" xfId="0" applyFont="1" applyBorder="1" applyAlignment="1">
      <alignment horizontal="centerContinuous" vertical="top" wrapText="1"/>
    </xf>
    <xf numFmtId="0" fontId="8" fillId="0" borderId="7" xfId="0" applyFont="1" applyBorder="1" applyAlignment="1">
      <alignment horizontal="left" vertical="top" wrapText="1"/>
    </xf>
    <xf numFmtId="0" fontId="7" fillId="2" borderId="4" xfId="0" applyFont="1" applyFill="1" applyBorder="1" applyAlignment="1">
      <alignment vertical="top" wrapText="1"/>
    </xf>
    <xf numFmtId="0" fontId="7" fillId="2" borderId="3" xfId="0" applyFont="1" applyFill="1" applyBorder="1" applyAlignment="1">
      <alignment vertical="top" wrapText="1"/>
    </xf>
    <xf numFmtId="0" fontId="13" fillId="0" borderId="10" xfId="0" applyFont="1" applyBorder="1" applyAlignment="1">
      <alignment horizontal="centerContinuous" vertical="top" wrapText="1"/>
    </xf>
    <xf numFmtId="0" fontId="7" fillId="0" borderId="6" xfId="0" applyFont="1" applyBorder="1" applyAlignment="1">
      <alignment horizontal="centerContinuous" vertical="top" wrapText="1"/>
    </xf>
    <xf numFmtId="0" fontId="12" fillId="0" borderId="4" xfId="0" applyFont="1" applyBorder="1" applyAlignment="1">
      <alignment horizontal="left" vertical="top" wrapText="1"/>
    </xf>
    <xf numFmtId="0" fontId="14" fillId="0" borderId="0" xfId="0" applyFont="1"/>
    <xf numFmtId="0" fontId="14" fillId="0" borderId="13" xfId="0" applyFont="1" applyBorder="1"/>
    <xf numFmtId="0" fontId="14" fillId="0" borderId="16" xfId="0" applyFont="1" applyBorder="1"/>
    <xf numFmtId="0" fontId="14" fillId="0" borderId="11" xfId="0" applyFont="1" applyBorder="1"/>
    <xf numFmtId="0" fontId="14" fillId="0" borderId="2" xfId="0" applyFont="1" applyBorder="1"/>
    <xf numFmtId="166" fontId="20" fillId="0" borderId="0" xfId="4" applyNumberFormat="1" applyFont="1" applyFill="1" applyBorder="1" applyAlignment="1">
      <alignment horizontal="left"/>
    </xf>
    <xf numFmtId="0" fontId="14" fillId="0" borderId="4" xfId="0" applyFont="1" applyBorder="1"/>
    <xf numFmtId="0" fontId="14" fillId="0" borderId="3" xfId="0" applyFont="1" applyBorder="1"/>
    <xf numFmtId="166" fontId="20" fillId="0" borderId="10" xfId="4" applyNumberFormat="1" applyFont="1" applyFill="1" applyBorder="1" applyAlignment="1">
      <alignment horizontal="left"/>
    </xf>
    <xf numFmtId="0" fontId="14" fillId="0" borderId="7" xfId="0" applyFont="1" applyBorder="1"/>
    <xf numFmtId="0" fontId="14" fillId="0" borderId="10" xfId="0" applyFont="1" applyBorder="1"/>
    <xf numFmtId="0" fontId="14" fillId="0" borderId="8" xfId="0" applyFont="1" applyBorder="1"/>
    <xf numFmtId="0" fontId="22" fillId="0" borderId="0" xfId="6" quotePrefix="1" applyNumberFormat="1" applyFont="1" applyFill="1" applyBorder="1" applyAlignment="1">
      <alignment horizontal="right"/>
    </xf>
    <xf numFmtId="165" fontId="20" fillId="0" borderId="0" xfId="6" quotePrefix="1" applyNumberFormat="1" applyFont="1" applyFill="1" applyBorder="1" applyAlignment="1">
      <alignment horizontal="right"/>
    </xf>
    <xf numFmtId="167" fontId="20" fillId="8" borderId="0" xfId="6" applyNumberFormat="1" applyFont="1" applyFill="1" applyBorder="1" applyAlignment="1">
      <alignment horizontal="right"/>
    </xf>
    <xf numFmtId="167" fontId="24" fillId="0" borderId="0" xfId="6" applyNumberFormat="1" applyFont="1" applyFill="1" applyBorder="1" applyAlignment="1">
      <alignment horizontal="right"/>
    </xf>
    <xf numFmtId="165" fontId="14" fillId="0" borderId="0" xfId="6" applyNumberFormat="1" applyFont="1" applyFill="1" applyBorder="1" applyAlignment="1"/>
    <xf numFmtId="167" fontId="20" fillId="0" borderId="0" xfId="6" applyNumberFormat="1" applyFont="1" applyFill="1" applyBorder="1" applyAlignment="1">
      <alignment horizontal="right"/>
    </xf>
    <xf numFmtId="0" fontId="26" fillId="3" borderId="17" xfId="7" applyFont="1" applyFill="1" applyBorder="1"/>
    <xf numFmtId="0" fontId="26" fillId="3" borderId="17" xfId="7" applyFont="1" applyFill="1" applyBorder="1" applyAlignment="1">
      <alignment horizontal="center"/>
    </xf>
    <xf numFmtId="166" fontId="27" fillId="3" borderId="18" xfId="8" applyNumberFormat="1" applyFont="1" applyFill="1" applyBorder="1" applyAlignment="1">
      <alignment horizontal="left"/>
    </xf>
    <xf numFmtId="0" fontId="28" fillId="9" borderId="12" xfId="0" applyFont="1" applyFill="1" applyBorder="1"/>
    <xf numFmtId="0" fontId="28" fillId="9" borderId="13" xfId="0" applyFont="1" applyFill="1" applyBorder="1"/>
    <xf numFmtId="0" fontId="28" fillId="0" borderId="14" xfId="0" applyFont="1" applyBorder="1"/>
    <xf numFmtId="0" fontId="28" fillId="10" borderId="14" xfId="0" applyFont="1" applyFill="1" applyBorder="1"/>
    <xf numFmtId="0" fontId="16" fillId="3" borderId="13" xfId="9" applyFont="1" applyFill="1" applyBorder="1"/>
    <xf numFmtId="0" fontId="20" fillId="6" borderId="15" xfId="0" applyFont="1" applyFill="1" applyBorder="1" applyAlignment="1">
      <alignment horizontal="left" indent="1"/>
    </xf>
    <xf numFmtId="0" fontId="20" fillId="0" borderId="15" xfId="0" applyFont="1" applyBorder="1" applyAlignment="1">
      <alignment horizontal="left" indent="1"/>
    </xf>
    <xf numFmtId="0" fontId="26" fillId="3" borderId="19" xfId="7" applyFont="1" applyFill="1" applyBorder="1"/>
    <xf numFmtId="0" fontId="26" fillId="3" borderId="19" xfId="7" applyFont="1" applyFill="1" applyBorder="1" applyAlignment="1">
      <alignment wrapText="1"/>
    </xf>
    <xf numFmtId="0" fontId="26" fillId="3" borderId="20" xfId="7" applyFont="1" applyFill="1" applyBorder="1" applyAlignment="1">
      <alignment wrapText="1"/>
    </xf>
    <xf numFmtId="0" fontId="26" fillId="3" borderId="21" xfId="7" applyFont="1" applyFill="1" applyBorder="1" applyAlignment="1">
      <alignment wrapText="1"/>
    </xf>
    <xf numFmtId="0" fontId="21" fillId="11" borderId="20" xfId="7" applyFont="1" applyFill="1" applyBorder="1"/>
    <xf numFmtId="0" fontId="21" fillId="11" borderId="20" xfId="7" applyFont="1" applyFill="1" applyBorder="1" applyAlignment="1">
      <alignment horizontal="center"/>
    </xf>
    <xf numFmtId="165" fontId="21" fillId="11" borderId="20" xfId="5" applyNumberFormat="1" applyFont="1" applyFill="1" applyBorder="1" applyAlignment="1"/>
    <xf numFmtId="165" fontId="21" fillId="11" borderId="21" xfId="5" applyNumberFormat="1" applyFont="1" applyFill="1" applyBorder="1" applyAlignment="1"/>
    <xf numFmtId="0" fontId="14" fillId="0" borderId="20" xfId="7" applyFont="1" applyBorder="1"/>
    <xf numFmtId="0" fontId="14" fillId="0" borderId="20" xfId="7" applyFont="1" applyBorder="1" applyAlignment="1">
      <alignment horizontal="center"/>
    </xf>
    <xf numFmtId="165" fontId="14" fillId="0" borderId="20" xfId="5" applyNumberFormat="1" applyFont="1" applyBorder="1" applyAlignment="1"/>
    <xf numFmtId="165" fontId="14" fillId="0" borderId="21" xfId="5" applyNumberFormat="1" applyFont="1" applyBorder="1" applyAlignment="1"/>
    <xf numFmtId="0" fontId="14" fillId="12" borderId="20" xfId="7" applyFont="1" applyFill="1" applyBorder="1"/>
    <xf numFmtId="0" fontId="14" fillId="12" borderId="20" xfId="7" applyFont="1" applyFill="1" applyBorder="1" applyAlignment="1">
      <alignment horizontal="center"/>
    </xf>
    <xf numFmtId="165" fontId="14" fillId="12" borderId="20" xfId="5" applyNumberFormat="1" applyFont="1" applyFill="1" applyBorder="1" applyAlignment="1"/>
    <xf numFmtId="165" fontId="14" fillId="12" borderId="21" xfId="5" applyNumberFormat="1" applyFont="1" applyFill="1" applyBorder="1" applyAlignment="1"/>
    <xf numFmtId="0" fontId="22" fillId="0" borderId="0" xfId="0" applyFont="1"/>
    <xf numFmtId="165" fontId="20" fillId="8" borderId="0" xfId="6" quotePrefix="1" applyNumberFormat="1" applyFont="1" applyFill="1" applyBorder="1" applyAlignment="1">
      <alignment horizontal="right"/>
    </xf>
    <xf numFmtId="0" fontId="14" fillId="0" borderId="0" xfId="0" applyFont="1" applyAlignment="1">
      <alignment horizontal="left"/>
    </xf>
    <xf numFmtId="0" fontId="22" fillId="0" borderId="4" xfId="0" applyFont="1" applyBorder="1" applyAlignment="1">
      <alignment horizontal="left"/>
    </xf>
    <xf numFmtId="0" fontId="23" fillId="0" borderId="4" xfId="0" applyFont="1" applyBorder="1"/>
    <xf numFmtId="0" fontId="14" fillId="0" borderId="4" xfId="0" applyFont="1" applyBorder="1" applyAlignment="1">
      <alignment horizontal="left"/>
    </xf>
    <xf numFmtId="0" fontId="21" fillId="0" borderId="4" xfId="0" applyFont="1" applyBorder="1" applyAlignment="1">
      <alignment horizontal="left"/>
    </xf>
    <xf numFmtId="0" fontId="23" fillId="0" borderId="4" xfId="0" applyFont="1" applyBorder="1" applyAlignment="1">
      <alignment horizontal="left"/>
    </xf>
    <xf numFmtId="0" fontId="21" fillId="0" borderId="4" xfId="0" applyFont="1" applyBorder="1" applyAlignment="1">
      <alignment horizontal="left" vertical="center"/>
    </xf>
    <xf numFmtId="0" fontId="23" fillId="0" borderId="7" xfId="0" applyFont="1" applyBorder="1"/>
    <xf numFmtId="167" fontId="20" fillId="0" borderId="10" xfId="6" applyNumberFormat="1" applyFont="1" applyFill="1" applyBorder="1" applyAlignment="1">
      <alignment horizontal="right"/>
    </xf>
    <xf numFmtId="0" fontId="20" fillId="0" borderId="0" xfId="6" quotePrefix="1" applyNumberFormat="1" applyFont="1" applyFill="1" applyBorder="1" applyAlignment="1">
      <alignment horizontal="right"/>
    </xf>
    <xf numFmtId="0" fontId="20" fillId="0" borderId="0" xfId="0" applyFont="1"/>
    <xf numFmtId="0" fontId="22" fillId="0" borderId="11" xfId="0" applyFont="1" applyBorder="1"/>
    <xf numFmtId="0" fontId="29" fillId="0" borderId="4" xfId="0" applyFont="1" applyBorder="1" applyAlignment="1">
      <alignment horizontal="left"/>
    </xf>
    <xf numFmtId="0" fontId="14" fillId="0" borderId="22" xfId="0" applyFont="1" applyBorder="1"/>
    <xf numFmtId="0" fontId="30" fillId="0" borderId="1" xfId="0" applyFont="1" applyBorder="1"/>
    <xf numFmtId="0" fontId="20" fillId="0" borderId="0" xfId="0" applyFont="1" applyAlignment="1">
      <alignment horizontal="left"/>
    </xf>
    <xf numFmtId="0" fontId="20" fillId="0" borderId="4" xfId="0" applyFont="1" applyBorder="1" applyAlignment="1">
      <alignment horizontal="left"/>
    </xf>
    <xf numFmtId="0" fontId="20" fillId="0" borderId="7" xfId="0" applyFont="1" applyBorder="1" applyAlignment="1">
      <alignment horizontal="left"/>
    </xf>
    <xf numFmtId="0" fontId="20" fillId="0" borderId="10" xfId="0" applyFont="1" applyBorder="1" applyAlignment="1">
      <alignment horizontal="left"/>
    </xf>
    <xf numFmtId="167" fontId="20" fillId="0" borderId="11" xfId="6" applyNumberFormat="1" applyFont="1" applyFill="1" applyBorder="1" applyAlignment="1">
      <alignment horizontal="right"/>
    </xf>
    <xf numFmtId="0" fontId="26" fillId="3" borderId="23" xfId="7" applyFont="1" applyFill="1" applyBorder="1"/>
    <xf numFmtId="0" fontId="28" fillId="9" borderId="4" xfId="0" applyFont="1" applyFill="1" applyBorder="1"/>
    <xf numFmtId="0" fontId="28" fillId="9" borderId="0" xfId="0" applyFont="1" applyFill="1"/>
    <xf numFmtId="0" fontId="28" fillId="0" borderId="4" xfId="0" applyFont="1" applyBorder="1"/>
    <xf numFmtId="0" fontId="28" fillId="0" borderId="0" xfId="0" applyFont="1"/>
    <xf numFmtId="0" fontId="28" fillId="10" borderId="4" xfId="0" applyFont="1" applyFill="1" applyBorder="1"/>
    <xf numFmtId="0" fontId="28" fillId="10" borderId="0" xfId="0" applyFont="1" applyFill="1"/>
    <xf numFmtId="0" fontId="28" fillId="0" borderId="7" xfId="0" applyFont="1" applyBorder="1"/>
    <xf numFmtId="0" fontId="28" fillId="0" borderId="10" xfId="0" applyFont="1" applyBorder="1"/>
    <xf numFmtId="0" fontId="28" fillId="0" borderId="24" xfId="0" applyFont="1" applyBorder="1"/>
    <xf numFmtId="0" fontId="16" fillId="3" borderId="25" xfId="9" applyFont="1" applyFill="1" applyBorder="1"/>
    <xf numFmtId="0" fontId="27" fillId="3" borderId="4" xfId="9" applyFont="1" applyFill="1" applyBorder="1"/>
    <xf numFmtId="0" fontId="27" fillId="3" borderId="0" xfId="9" applyFont="1" applyFill="1"/>
    <xf numFmtId="0" fontId="27" fillId="3" borderId="0" xfId="8" quotePrefix="1" applyFont="1" applyFill="1" applyAlignment="1">
      <alignment horizontal="right"/>
    </xf>
    <xf numFmtId="0" fontId="27" fillId="3" borderId="3" xfId="8" quotePrefix="1" applyFont="1" applyFill="1" applyBorder="1" applyAlignment="1">
      <alignment horizontal="right"/>
    </xf>
    <xf numFmtId="0" fontId="20" fillId="6" borderId="4" xfId="0" applyFont="1" applyFill="1" applyBorder="1" applyAlignment="1">
      <alignment horizontal="left" vertical="top"/>
    </xf>
    <xf numFmtId="0" fontId="20" fillId="6" borderId="0" xfId="0" applyFont="1" applyFill="1" applyAlignment="1">
      <alignment horizontal="left" indent="1"/>
    </xf>
    <xf numFmtId="0" fontId="20" fillId="0" borderId="4" xfId="0" applyFont="1" applyBorder="1" applyAlignment="1">
      <alignment horizontal="left" vertical="top"/>
    </xf>
    <xf numFmtId="0" fontId="20" fillId="0" borderId="0" xfId="0" applyFont="1" applyAlignment="1">
      <alignment horizontal="left" indent="1"/>
    </xf>
    <xf numFmtId="0" fontId="20" fillId="0" borderId="7" xfId="0" applyFont="1" applyBorder="1" applyAlignment="1">
      <alignment horizontal="left" vertical="top"/>
    </xf>
    <xf numFmtId="0" fontId="20" fillId="0" borderId="10" xfId="0" applyFont="1" applyBorder="1" applyAlignment="1">
      <alignment horizontal="left" indent="1"/>
    </xf>
    <xf numFmtId="0" fontId="20" fillId="0" borderId="27" xfId="0" applyFont="1" applyBorder="1" applyAlignment="1">
      <alignment horizontal="left" indent="1"/>
    </xf>
    <xf numFmtId="0" fontId="26" fillId="3" borderId="30" xfId="7" applyFont="1" applyFill="1" applyBorder="1"/>
    <xf numFmtId="0" fontId="26" fillId="3" borderId="31" xfId="7" applyFont="1" applyFill="1" applyBorder="1" applyAlignment="1">
      <alignment wrapText="1"/>
    </xf>
    <xf numFmtId="0" fontId="21" fillId="11" borderId="32" xfId="7" applyFont="1" applyFill="1" applyBorder="1"/>
    <xf numFmtId="165" fontId="21" fillId="11" borderId="31" xfId="5" applyNumberFormat="1" applyFont="1" applyFill="1" applyBorder="1" applyAlignment="1"/>
    <xf numFmtId="0" fontId="14" fillId="0" borderId="32" xfId="7" applyFont="1" applyBorder="1"/>
    <xf numFmtId="165" fontId="14" fillId="0" borderId="31" xfId="5" applyNumberFormat="1" applyFont="1" applyBorder="1" applyAlignment="1"/>
    <xf numFmtId="165" fontId="14" fillId="12" borderId="31" xfId="5" applyNumberFormat="1" applyFont="1" applyFill="1" applyBorder="1" applyAlignment="1"/>
    <xf numFmtId="0" fontId="14" fillId="0" borderId="33" xfId="7" applyFont="1" applyBorder="1"/>
    <xf numFmtId="0" fontId="14" fillId="12" borderId="34" xfId="7" applyFont="1" applyFill="1" applyBorder="1"/>
    <xf numFmtId="0" fontId="14" fillId="12" borderId="34" xfId="7" applyFont="1" applyFill="1" applyBorder="1" applyAlignment="1">
      <alignment horizontal="center"/>
    </xf>
    <xf numFmtId="165" fontId="14" fillId="12" borderId="34" xfId="5" applyNumberFormat="1" applyFont="1" applyFill="1" applyBorder="1" applyAlignment="1"/>
    <xf numFmtId="165" fontId="14" fillId="12" borderId="35" xfId="5" applyNumberFormat="1" applyFont="1" applyFill="1" applyBorder="1" applyAlignment="1"/>
    <xf numFmtId="165" fontId="14" fillId="12" borderId="36" xfId="5" applyNumberFormat="1" applyFont="1" applyFill="1" applyBorder="1" applyAlignment="1"/>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11" fillId="0" borderId="0" xfId="1" applyNumberFormat="1" applyFont="1" applyFill="1" applyBorder="1" applyAlignment="1" applyProtection="1">
      <alignment vertical="top" wrapText="1"/>
    </xf>
    <xf numFmtId="0" fontId="11" fillId="0" borderId="3" xfId="1" applyNumberFormat="1" applyFont="1" applyFill="1" applyBorder="1" applyAlignment="1" applyProtection="1">
      <alignment vertical="top" wrapText="1"/>
    </xf>
    <xf numFmtId="0" fontId="13" fillId="0" borderId="4" xfId="0" applyFont="1" applyBorder="1" applyAlignment="1">
      <alignment horizontal="center" vertical="top" wrapText="1"/>
    </xf>
    <xf numFmtId="0" fontId="13" fillId="0" borderId="0" xfId="0" applyFont="1" applyAlignment="1">
      <alignment horizontal="center" vertical="top" wrapText="1"/>
    </xf>
    <xf numFmtId="0" fontId="7" fillId="0" borderId="0" xfId="0" applyFont="1" applyAlignment="1">
      <alignment horizontal="center" vertical="top" wrapText="1"/>
    </xf>
    <xf numFmtId="0" fontId="7" fillId="0" borderId="3" xfId="0" applyFont="1" applyBorder="1" applyAlignment="1">
      <alignment horizontal="center" vertical="top" wrapText="1"/>
    </xf>
    <xf numFmtId="0" fontId="8" fillId="0" borderId="0" xfId="0" applyFont="1" applyAlignment="1">
      <alignment vertical="top" wrapText="1"/>
    </xf>
    <xf numFmtId="0" fontId="7" fillId="0" borderId="0" xfId="0" applyFont="1"/>
    <xf numFmtId="15" fontId="7" fillId="0" borderId="0" xfId="0" applyNumberFormat="1" applyFont="1" applyAlignment="1">
      <alignment vertical="top"/>
    </xf>
    <xf numFmtId="0" fontId="3" fillId="0" borderId="0" xfId="0" applyFont="1" applyAlignment="1">
      <alignment vertical="top"/>
    </xf>
    <xf numFmtId="0" fontId="5" fillId="0" borderId="0" xfId="0" applyFont="1" applyAlignment="1">
      <alignment horizontal="left" vertical="top"/>
    </xf>
    <xf numFmtId="49" fontId="7" fillId="0" borderId="0" xfId="0" applyNumberFormat="1" applyFont="1" applyAlignment="1">
      <alignment vertical="top" wrapText="1"/>
    </xf>
    <xf numFmtId="0" fontId="7" fillId="0" borderId="0" xfId="0" applyFont="1" applyAlignment="1">
      <alignment vertical="center"/>
    </xf>
    <xf numFmtId="0" fontId="13" fillId="2" borderId="4" xfId="0" applyFont="1" applyFill="1" applyBorder="1" applyAlignment="1">
      <alignment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3" xfId="0" applyFont="1" applyBorder="1" applyAlignment="1">
      <alignment vertical="top" wrapText="1"/>
    </xf>
    <xf numFmtId="0" fontId="8" fillId="0" borderId="5" xfId="0" applyFont="1" applyBorder="1" applyAlignment="1">
      <alignment horizontal="left" vertical="top" wrapText="1"/>
    </xf>
    <xf numFmtId="0" fontId="7" fillId="6" borderId="0" xfId="0" applyFont="1" applyFill="1"/>
    <xf numFmtId="0" fontId="7" fillId="6" borderId="0" xfId="0" applyFont="1" applyFill="1" applyAlignment="1">
      <alignment vertical="top"/>
    </xf>
    <xf numFmtId="0" fontId="7" fillId="0" borderId="0" xfId="0" applyFont="1" applyAlignment="1">
      <alignment horizontal="left"/>
    </xf>
    <xf numFmtId="0" fontId="7" fillId="0" borderId="0" xfId="0" applyFont="1" applyAlignment="1">
      <alignment horizontal="left" vertical="top"/>
    </xf>
    <xf numFmtId="15" fontId="7" fillId="0" borderId="0" xfId="0" quotePrefix="1" applyNumberFormat="1" applyFont="1"/>
    <xf numFmtId="0" fontId="7" fillId="0" borderId="4" xfId="0" applyFont="1" applyBorder="1" applyAlignment="1">
      <alignment vertical="top" wrapText="1"/>
    </xf>
    <xf numFmtId="0" fontId="7" fillId="0" borderId="0" xfId="0" applyFont="1" applyAlignment="1">
      <alignment vertical="top" wrapText="1"/>
    </xf>
    <xf numFmtId="0" fontId="7" fillId="0" borderId="3" xfId="0" applyFont="1" applyBorder="1" applyAlignment="1">
      <alignment vertical="top" wrapText="1"/>
    </xf>
    <xf numFmtId="0" fontId="12" fillId="0" borderId="0" xfId="0" applyFont="1" applyAlignment="1">
      <alignment wrapText="1"/>
    </xf>
    <xf numFmtId="0" fontId="7" fillId="0" borderId="0" xfId="0" applyFont="1" applyAlignment="1">
      <alignment wrapText="1"/>
    </xf>
    <xf numFmtId="0" fontId="7" fillId="0" borderId="3" xfId="0" applyFont="1" applyBorder="1" applyAlignment="1">
      <alignment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8" xfId="0" applyFont="1" applyBorder="1" applyAlignment="1">
      <alignment vertical="top" wrapText="1"/>
    </xf>
    <xf numFmtId="0" fontId="7" fillId="0" borderId="3" xfId="0" applyFont="1" applyBorder="1"/>
    <xf numFmtId="0" fontId="12" fillId="0" borderId="0" xfId="0" applyFont="1" applyAlignment="1">
      <alignment horizontal="left" vertical="top" wrapText="1"/>
    </xf>
    <xf numFmtId="49" fontId="7" fillId="2" borderId="0" xfId="0" applyNumberFormat="1" applyFont="1" applyFill="1" applyAlignment="1">
      <alignment vertical="top" wrapText="1"/>
    </xf>
    <xf numFmtId="49" fontId="7" fillId="0" borderId="0" xfId="0" applyNumberFormat="1" applyFont="1" applyAlignment="1">
      <alignment vertical="top"/>
    </xf>
    <xf numFmtId="0" fontId="7" fillId="2" borderId="0" xfId="0" applyFont="1" applyFill="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wrapText="1"/>
    </xf>
    <xf numFmtId="0" fontId="7" fillId="0" borderId="8" xfId="0" applyFont="1" applyBorder="1" applyAlignment="1">
      <alignment wrapText="1"/>
    </xf>
    <xf numFmtId="0" fontId="7" fillId="0" borderId="7" xfId="0" applyFont="1" applyBorder="1" applyAlignment="1">
      <alignment wrapText="1"/>
    </xf>
    <xf numFmtId="0" fontId="7" fillId="0" borderId="10" xfId="0" applyFont="1" applyBorder="1" applyAlignment="1">
      <alignment wrapText="1"/>
    </xf>
    <xf numFmtId="0" fontId="7" fillId="0" borderId="3" xfId="0" applyFont="1" applyBorder="1" applyAlignment="1">
      <alignment vertical="center"/>
    </xf>
    <xf numFmtId="0" fontId="9" fillId="0" borderId="0" xfId="0" applyFont="1" applyAlignment="1">
      <alignment vertical="top" wrapText="1"/>
    </xf>
    <xf numFmtId="0" fontId="6" fillId="0" borderId="0" xfId="0" applyFont="1" applyAlignment="1">
      <alignment wrapText="1"/>
    </xf>
    <xf numFmtId="0" fontId="9" fillId="0" borderId="0" xfId="0" applyFont="1"/>
    <xf numFmtId="0" fontId="7" fillId="6" borderId="0" xfId="0" applyFont="1" applyFill="1" applyAlignment="1">
      <alignment wrapText="1"/>
    </xf>
    <xf numFmtId="0" fontId="7" fillId="6" borderId="0" xfId="0" applyFont="1" applyFill="1" applyAlignment="1">
      <alignment vertical="top" wrapText="1"/>
    </xf>
    <xf numFmtId="0" fontId="33" fillId="0" borderId="0" xfId="0" applyFont="1"/>
    <xf numFmtId="0" fontId="33" fillId="6" borderId="0" xfId="0" applyFont="1" applyFill="1"/>
    <xf numFmtId="0" fontId="11" fillId="0" borderId="0" xfId="0" applyFont="1"/>
    <xf numFmtId="0" fontId="34" fillId="13" borderId="0" xfId="0" applyFont="1" applyFill="1" applyAlignment="1">
      <alignment vertical="center"/>
    </xf>
    <xf numFmtId="0" fontId="34" fillId="0" borderId="0" xfId="0" applyFont="1" applyAlignment="1">
      <alignment vertical="center"/>
    </xf>
    <xf numFmtId="0" fontId="9" fillId="0" borderId="0" xfId="0" applyFont="1" applyAlignment="1">
      <alignment vertical="center"/>
    </xf>
    <xf numFmtId="0" fontId="7" fillId="0" borderId="0" xfId="0" applyFont="1" applyAlignment="1">
      <alignment horizontal="centerContinuous" vertical="center" wrapText="1"/>
    </xf>
    <xf numFmtId="0" fontId="7" fillId="0" borderId="3" xfId="0" applyFont="1" applyBorder="1" applyAlignment="1">
      <alignment horizontal="centerContinuous" vertical="center" wrapText="1"/>
    </xf>
    <xf numFmtId="0" fontId="8" fillId="0" borderId="4" xfId="0" applyFont="1" applyBorder="1" applyAlignment="1">
      <alignment horizontal="right" vertical="top" wrapText="1" indent="1"/>
    </xf>
    <xf numFmtId="0" fontId="8" fillId="0" borderId="4" xfId="0" applyFont="1" applyBorder="1" applyAlignment="1">
      <alignment vertical="top"/>
    </xf>
    <xf numFmtId="0" fontId="32" fillId="4" borderId="52" xfId="1" applyNumberFormat="1" applyFont="1" applyFill="1" applyBorder="1" applyAlignment="1" applyProtection="1">
      <alignment horizontal="center" vertical="top" wrapText="1"/>
      <protection locked="0"/>
    </xf>
    <xf numFmtId="0" fontId="8" fillId="0" borderId="52" xfId="0" applyFont="1" applyBorder="1" applyAlignment="1">
      <alignment horizontal="center" vertical="center" wrapText="1"/>
    </xf>
    <xf numFmtId="165" fontId="11" fillId="4" borderId="52" xfId="6" applyNumberFormat="1" applyFont="1" applyFill="1" applyBorder="1" applyAlignment="1" applyProtection="1">
      <alignment horizontal="center" vertical="center" wrapText="1"/>
      <protection locked="0"/>
    </xf>
    <xf numFmtId="0" fontId="11" fillId="4" borderId="52" xfId="1" applyNumberFormat="1" applyFont="1" applyFill="1" applyBorder="1" applyAlignment="1" applyProtection="1">
      <alignment horizontal="center" vertical="top" wrapText="1"/>
      <protection locked="0"/>
    </xf>
    <xf numFmtId="0" fontId="9" fillId="7" borderId="52" xfId="0" applyFont="1" applyFill="1" applyBorder="1" applyAlignment="1">
      <alignment horizontal="center" vertical="top" wrapText="1"/>
    </xf>
    <xf numFmtId="0" fontId="8" fillId="0" borderId="44" xfId="0" applyFont="1" applyBorder="1" applyAlignment="1">
      <alignment horizontal="left" vertical="top" wrapText="1"/>
    </xf>
    <xf numFmtId="0" fontId="12" fillId="0" borderId="0" xfId="0" applyFont="1" applyAlignment="1">
      <alignment vertical="center" wrapText="1"/>
    </xf>
    <xf numFmtId="0" fontId="13" fillId="0" borderId="52" xfId="0" applyFont="1" applyBorder="1" applyAlignment="1">
      <alignment horizontal="center" vertical="center" wrapText="1"/>
    </xf>
    <xf numFmtId="0" fontId="9" fillId="7" borderId="57" xfId="0" applyFont="1" applyFill="1" applyBorder="1" applyAlignment="1">
      <alignment horizontal="center" vertical="top" wrapText="1"/>
    </xf>
    <xf numFmtId="0" fontId="8" fillId="0" borderId="52" xfId="0" applyFont="1" applyBorder="1" applyAlignment="1">
      <alignment horizontal="center" vertical="top" wrapText="1"/>
    </xf>
    <xf numFmtId="0" fontId="8" fillId="0" borderId="47" xfId="0" applyFont="1" applyBorder="1" applyAlignment="1">
      <alignment horizontal="left" vertical="top" wrapText="1"/>
    </xf>
    <xf numFmtId="0" fontId="13" fillId="0" borderId="45" xfId="0" applyFont="1" applyBorder="1" applyAlignment="1">
      <alignment horizontal="centerContinuous" vertical="top" wrapText="1"/>
    </xf>
    <xf numFmtId="0" fontId="13" fillId="0" borderId="52" xfId="0" applyFont="1" applyBorder="1" applyAlignment="1">
      <alignment horizontal="center" vertical="top" wrapText="1"/>
    </xf>
    <xf numFmtId="0" fontId="7" fillId="0" borderId="45" xfId="0" applyFont="1" applyBorder="1" applyAlignment="1">
      <alignment wrapText="1"/>
    </xf>
    <xf numFmtId="0" fontId="13" fillId="14" borderId="56" xfId="0" applyFont="1" applyFill="1" applyBorder="1" applyAlignment="1">
      <alignment horizontal="left" vertical="top" wrapText="1"/>
    </xf>
    <xf numFmtId="1" fontId="11" fillId="5" borderId="52" xfId="1" applyNumberFormat="1" applyFont="1" applyFill="1" applyBorder="1" applyAlignment="1" applyProtection="1">
      <alignment horizontal="center" vertical="top" wrapText="1"/>
    </xf>
    <xf numFmtId="0" fontId="7" fillId="2" borderId="4" xfId="0" applyFont="1" applyFill="1" applyBorder="1" applyAlignment="1">
      <alignment vertical="top"/>
    </xf>
    <xf numFmtId="0" fontId="7" fillId="6" borderId="0" xfId="0" applyFont="1" applyFill="1" applyAlignment="1">
      <alignment horizontal="center"/>
    </xf>
    <xf numFmtId="0" fontId="7" fillId="0" borderId="0" xfId="0" applyFont="1" applyAlignment="1">
      <alignment horizontal="center"/>
    </xf>
    <xf numFmtId="0" fontId="8" fillId="0" borderId="4" xfId="0" applyFont="1" applyBorder="1" applyAlignment="1">
      <alignment vertical="top" wrapText="1"/>
    </xf>
    <xf numFmtId="0" fontId="36" fillId="2" borderId="4" xfId="0" applyFont="1" applyFill="1" applyBorder="1" applyAlignment="1">
      <alignment horizontal="center" vertical="top" wrapText="1"/>
    </xf>
    <xf numFmtId="0" fontId="36" fillId="2" borderId="0" xfId="0" applyFont="1" applyFill="1" applyAlignment="1">
      <alignment horizontal="center" vertical="top" wrapText="1"/>
    </xf>
    <xf numFmtId="0" fontId="5" fillId="0" borderId="0" xfId="0" applyFont="1" applyAlignment="1">
      <alignment horizontal="left" vertical="top" indent="1"/>
    </xf>
    <xf numFmtId="0" fontId="5" fillId="0" borderId="0" xfId="0" applyFont="1" applyAlignment="1">
      <alignment horizontal="left" vertical="top" wrapText="1"/>
    </xf>
    <xf numFmtId="0" fontId="5" fillId="0" borderId="0" xfId="0" applyFont="1" applyAlignment="1">
      <alignment horizontal="left" vertical="top" wrapText="1" indent="1"/>
    </xf>
    <xf numFmtId="0" fontId="13" fillId="14" borderId="56" xfId="0" applyFont="1" applyFill="1" applyBorder="1" applyAlignment="1">
      <alignment horizontal="left" vertical="center" wrapText="1"/>
    </xf>
    <xf numFmtId="0" fontId="8" fillId="0" borderId="4" xfId="0" applyFont="1" applyBorder="1" applyAlignment="1">
      <alignment horizontal="left" vertical="center" wrapText="1"/>
    </xf>
    <xf numFmtId="0" fontId="8" fillId="2" borderId="0" xfId="0" applyFont="1" applyFill="1" applyAlignment="1">
      <alignment horizontal="left" vertical="top"/>
    </xf>
    <xf numFmtId="0" fontId="13" fillId="0" borderId="4" xfId="0" applyFont="1" applyBorder="1" applyAlignment="1">
      <alignment horizontal="left" vertical="top" wrapText="1" indent="1"/>
    </xf>
    <xf numFmtId="0" fontId="13" fillId="0" borderId="0" xfId="0" applyFont="1" applyAlignment="1">
      <alignment horizontal="left" vertical="top" wrapText="1" indent="1"/>
    </xf>
    <xf numFmtId="0" fontId="8" fillId="0" borderId="0" xfId="0" applyFont="1" applyAlignment="1">
      <alignment horizontal="center" vertical="top" wrapText="1"/>
    </xf>
    <xf numFmtId="0" fontId="8" fillId="0" borderId="4" xfId="0" applyFont="1" applyBorder="1" applyAlignment="1">
      <alignment horizontal="left" vertical="top"/>
    </xf>
    <xf numFmtId="0" fontId="9" fillId="0" borderId="4" xfId="0" applyFont="1" applyBorder="1" applyAlignment="1">
      <alignment vertical="top"/>
    </xf>
    <xf numFmtId="0" fontId="13" fillId="0" borderId="4" xfId="0" applyFont="1" applyBorder="1" applyAlignment="1">
      <alignment horizontal="right" vertical="top" wrapText="1" indent="1"/>
    </xf>
    <xf numFmtId="0" fontId="13" fillId="0" borderId="0" xfId="0" applyFont="1" applyAlignment="1">
      <alignment horizontal="right" vertical="top" wrapText="1" indent="1"/>
    </xf>
    <xf numFmtId="165" fontId="10" fillId="0" borderId="0" xfId="6" applyNumberFormat="1" applyFont="1" applyFill="1" applyBorder="1" applyAlignment="1" applyProtection="1">
      <alignment horizontal="right" vertical="top" wrapText="1"/>
    </xf>
    <xf numFmtId="0" fontId="9" fillId="0" borderId="3" xfId="0" applyFont="1" applyBorder="1" applyAlignment="1">
      <alignment vertical="top"/>
    </xf>
    <xf numFmtId="0" fontId="6" fillId="3" borderId="0" xfId="0" applyFont="1" applyFill="1" applyAlignment="1">
      <alignment horizontal="left" vertical="top" wrapText="1"/>
    </xf>
    <xf numFmtId="0" fontId="4" fillId="3" borderId="4" xfId="0" applyFont="1" applyFill="1" applyBorder="1" applyAlignment="1">
      <alignment vertical="top" wrapText="1"/>
    </xf>
    <xf numFmtId="0" fontId="4" fillId="3" borderId="3" xfId="0" applyFont="1" applyFill="1" applyBorder="1" applyAlignment="1">
      <alignment vertical="top" wrapText="1"/>
    </xf>
    <xf numFmtId="0" fontId="6" fillId="3" borderId="4" xfId="0" applyFont="1" applyFill="1" applyBorder="1" applyAlignment="1">
      <alignment horizontal="left" vertical="top" wrapText="1"/>
    </xf>
    <xf numFmtId="165" fontId="11" fillId="4" borderId="52" xfId="6" applyNumberFormat="1" applyFont="1" applyFill="1" applyBorder="1" applyAlignment="1" applyProtection="1">
      <alignment vertical="center"/>
      <protection locked="0"/>
    </xf>
    <xf numFmtId="165" fontId="10" fillId="5" borderId="52" xfId="6" applyNumberFormat="1" applyFont="1" applyFill="1" applyBorder="1" applyAlignment="1" applyProtection="1">
      <alignment vertical="center"/>
    </xf>
    <xf numFmtId="165" fontId="11" fillId="4" borderId="69" xfId="6" applyNumberFormat="1" applyFont="1" applyFill="1" applyBorder="1" applyAlignment="1" applyProtection="1">
      <alignment vertical="top"/>
      <protection locked="0"/>
    </xf>
    <xf numFmtId="165" fontId="11" fillId="5" borderId="69" xfId="6" applyNumberFormat="1" applyFont="1" applyFill="1" applyBorder="1" applyAlignment="1" applyProtection="1">
      <alignment vertical="top"/>
    </xf>
    <xf numFmtId="165" fontId="11" fillId="4" borderId="52" xfId="6" applyNumberFormat="1" applyFont="1" applyFill="1" applyBorder="1" applyAlignment="1" applyProtection="1">
      <alignment vertical="top"/>
      <protection locked="0"/>
    </xf>
    <xf numFmtId="165" fontId="11" fillId="5" borderId="52" xfId="6" applyNumberFormat="1" applyFont="1" applyFill="1" applyBorder="1" applyAlignment="1" applyProtection="1">
      <alignment vertical="top"/>
    </xf>
    <xf numFmtId="164" fontId="11" fillId="5" borderId="67" xfId="6" applyFont="1" applyFill="1" applyBorder="1" applyAlignment="1" applyProtection="1">
      <alignment vertical="top"/>
    </xf>
    <xf numFmtId="165" fontId="11" fillId="4" borderId="54" xfId="6" applyNumberFormat="1" applyFont="1" applyFill="1" applyBorder="1" applyAlignment="1" applyProtection="1">
      <alignment vertical="top"/>
      <protection locked="0"/>
    </xf>
    <xf numFmtId="165" fontId="11" fillId="5" borderId="52" xfId="6" applyNumberFormat="1" applyFont="1" applyFill="1" applyBorder="1" applyAlignment="1" applyProtection="1">
      <alignment vertical="center"/>
    </xf>
    <xf numFmtId="165" fontId="11" fillId="4" borderId="57" xfId="6" applyNumberFormat="1" applyFont="1" applyFill="1" applyBorder="1" applyAlignment="1" applyProtection="1">
      <alignment vertical="center"/>
      <protection locked="0"/>
    </xf>
    <xf numFmtId="164" fontId="11" fillId="5" borderId="52" xfId="6" applyFont="1" applyFill="1" applyBorder="1" applyAlignment="1" applyProtection="1">
      <alignment vertical="center"/>
    </xf>
    <xf numFmtId="164" fontId="11" fillId="5" borderId="57" xfId="6" applyFont="1" applyFill="1" applyBorder="1" applyAlignment="1" applyProtection="1">
      <alignment vertical="center"/>
    </xf>
    <xf numFmtId="165" fontId="10" fillId="5" borderId="52" xfId="6" applyNumberFormat="1" applyFont="1" applyFill="1" applyBorder="1" applyAlignment="1" applyProtection="1">
      <alignment vertical="top"/>
    </xf>
    <xf numFmtId="0" fontId="7" fillId="0" borderId="3" xfId="0" applyFont="1" applyBorder="1" applyAlignment="1">
      <alignment vertical="top"/>
    </xf>
    <xf numFmtId="0" fontId="7" fillId="0" borderId="4" xfId="0" applyFont="1" applyBorder="1" applyAlignment="1">
      <alignment vertical="top"/>
    </xf>
    <xf numFmtId="165" fontId="11" fillId="5" borderId="52" xfId="1" applyNumberFormat="1" applyFont="1" applyFill="1" applyBorder="1" applyAlignment="1" applyProtection="1">
      <alignment horizontal="center" vertical="center"/>
    </xf>
    <xf numFmtId="0" fontId="9" fillId="7" borderId="53" xfId="0" applyFont="1" applyFill="1" applyBorder="1" applyAlignment="1">
      <alignment horizontal="center" vertical="top" wrapText="1"/>
    </xf>
    <xf numFmtId="0" fontId="9" fillId="7" borderId="52" xfId="0" applyFont="1" applyFill="1" applyBorder="1" applyAlignment="1">
      <alignment horizontal="center" vertical="center"/>
    </xf>
    <xf numFmtId="0" fontId="7" fillId="0" borderId="50" xfId="0" applyFont="1" applyBorder="1" applyAlignment="1">
      <alignment horizontal="centerContinuous" vertical="top" wrapText="1"/>
    </xf>
    <xf numFmtId="0" fontId="9" fillId="0" borderId="0" xfId="0" applyFont="1" applyAlignment="1">
      <alignment horizontal="center" vertical="top"/>
    </xf>
    <xf numFmtId="0" fontId="12" fillId="2" borderId="0" xfId="0" applyFont="1" applyFill="1" applyAlignment="1">
      <alignment vertical="top" wrapText="1"/>
    </xf>
    <xf numFmtId="0" fontId="9" fillId="2" borderId="0" xfId="0" applyFont="1" applyFill="1" applyAlignment="1">
      <alignment horizontal="center" vertical="center"/>
    </xf>
    <xf numFmtId="0" fontId="7" fillId="0" borderId="0" xfId="0" applyFont="1" applyAlignment="1">
      <alignment horizontal="right"/>
    </xf>
    <xf numFmtId="0" fontId="7" fillId="8" borderId="0" xfId="0" applyFont="1" applyFill="1" applyAlignment="1">
      <alignment horizontal="right"/>
    </xf>
    <xf numFmtId="0" fontId="7" fillId="17" borderId="0" xfId="0" applyFont="1" applyFill="1" applyAlignment="1">
      <alignment horizontal="right"/>
    </xf>
    <xf numFmtId="16" fontId="7" fillId="0" borderId="0" xfId="0" applyNumberFormat="1" applyFont="1"/>
    <xf numFmtId="0" fontId="9" fillId="7" borderId="52" xfId="0" applyFont="1" applyFill="1" applyBorder="1" applyAlignment="1">
      <alignment horizontal="center" vertical="center" wrapText="1"/>
    </xf>
    <xf numFmtId="0" fontId="8" fillId="0" borderId="37" xfId="0" applyFont="1" applyBorder="1" applyAlignment="1">
      <alignment horizontal="left" vertical="top" wrapText="1"/>
    </xf>
    <xf numFmtId="0" fontId="41" fillId="0" borderId="0" xfId="0" applyFont="1"/>
    <xf numFmtId="0" fontId="7" fillId="0" borderId="0" xfId="0" quotePrefix="1" applyFont="1"/>
    <xf numFmtId="49" fontId="7" fillId="0" borderId="0" xfId="0" quotePrefix="1" applyNumberFormat="1" applyFont="1"/>
    <xf numFmtId="0" fontId="42" fillId="0" borderId="0" xfId="10" applyAlignment="1"/>
    <xf numFmtId="0" fontId="11" fillId="0" borderId="0" xfId="0" applyFont="1" applyAlignment="1">
      <alignment horizontal="left"/>
    </xf>
    <xf numFmtId="0" fontId="8" fillId="0" borderId="3" xfId="0" applyFont="1" applyBorder="1" applyAlignment="1">
      <alignment horizontal="left" vertical="top"/>
    </xf>
    <xf numFmtId="166" fontId="47" fillId="3" borderId="83" xfId="8" applyNumberFormat="1" applyFont="1" applyFill="1" applyBorder="1" applyAlignment="1">
      <alignment horizontal="left" wrapText="1"/>
    </xf>
    <xf numFmtId="0" fontId="48" fillId="11" borderId="15" xfId="7" applyFont="1" applyFill="1" applyBorder="1"/>
    <xf numFmtId="166" fontId="48" fillId="11" borderId="0" xfId="6" applyNumberFormat="1" applyFont="1" applyFill="1" applyBorder="1" applyAlignment="1">
      <alignment wrapText="1"/>
    </xf>
    <xf numFmtId="166" fontId="48" fillId="11" borderId="15" xfId="6" applyNumberFormat="1" applyFont="1" applyFill="1" applyBorder="1" applyAlignment="1">
      <alignment wrapText="1"/>
    </xf>
    <xf numFmtId="166" fontId="48" fillId="11" borderId="14" xfId="6" applyNumberFormat="1" applyFont="1" applyFill="1" applyBorder="1" applyAlignment="1">
      <alignment wrapText="1"/>
    </xf>
    <xf numFmtId="166" fontId="48" fillId="20" borderId="0" xfId="6" applyNumberFormat="1" applyFont="1" applyFill="1" applyBorder="1" applyAlignment="1">
      <alignment wrapText="1"/>
    </xf>
    <xf numFmtId="166" fontId="48" fillId="20" borderId="84" xfId="6" applyNumberFormat="1" applyFont="1" applyFill="1" applyBorder="1" applyAlignment="1">
      <alignment wrapText="1"/>
    </xf>
    <xf numFmtId="166" fontId="48" fillId="20" borderId="15" xfId="6" applyNumberFormat="1" applyFont="1" applyFill="1" applyBorder="1" applyAlignment="1">
      <alignment wrapText="1"/>
    </xf>
    <xf numFmtId="166" fontId="48" fillId="20" borderId="14" xfId="6" applyNumberFormat="1" applyFont="1" applyFill="1" applyBorder="1" applyAlignment="1" applyProtection="1">
      <alignment wrapText="1"/>
    </xf>
    <xf numFmtId="166" fontId="48" fillId="20" borderId="0" xfId="6" applyNumberFormat="1" applyFont="1" applyFill="1" applyBorder="1" applyAlignment="1" applyProtection="1">
      <alignment wrapText="1"/>
    </xf>
    <xf numFmtId="166" fontId="48" fillId="20" borderId="15" xfId="6" applyNumberFormat="1" applyFont="1" applyFill="1" applyBorder="1" applyAlignment="1" applyProtection="1">
      <alignment wrapText="1"/>
    </xf>
    <xf numFmtId="0" fontId="50" fillId="3" borderId="85" xfId="0" applyFont="1" applyFill="1" applyBorder="1" applyAlignment="1">
      <alignment horizontal="center"/>
    </xf>
    <xf numFmtId="0" fontId="50" fillId="3" borderId="86" xfId="0" applyFont="1" applyFill="1" applyBorder="1" applyAlignment="1">
      <alignment horizontal="center"/>
    </xf>
    <xf numFmtId="0" fontId="50" fillId="3" borderId="87" xfId="0" applyFont="1" applyFill="1" applyBorder="1"/>
    <xf numFmtId="0" fontId="50" fillId="3" borderId="85" xfId="0" applyFont="1" applyFill="1" applyBorder="1"/>
    <xf numFmtId="165" fontId="50" fillId="3" borderId="85" xfId="6" applyNumberFormat="1" applyFont="1" applyFill="1" applyBorder="1"/>
    <xf numFmtId="165" fontId="50" fillId="3" borderId="85" xfId="6" applyNumberFormat="1" applyFont="1" applyFill="1" applyBorder="1" applyAlignment="1">
      <alignment horizontal="left"/>
    </xf>
    <xf numFmtId="165" fontId="50" fillId="3" borderId="86" xfId="6" applyNumberFormat="1" applyFont="1" applyFill="1" applyBorder="1"/>
    <xf numFmtId="0" fontId="44" fillId="3" borderId="12" xfId="7" applyFont="1" applyFill="1" applyBorder="1" applyAlignment="1">
      <alignment wrapText="1"/>
    </xf>
    <xf numFmtId="0" fontId="44" fillId="3" borderId="13" xfId="7" applyFont="1" applyFill="1" applyBorder="1" applyAlignment="1">
      <alignment wrapText="1"/>
    </xf>
    <xf numFmtId="0" fontId="45" fillId="3" borderId="13" xfId="7" applyFont="1" applyFill="1" applyBorder="1"/>
    <xf numFmtId="0" fontId="46" fillId="3" borderId="13" xfId="0" applyFont="1" applyFill="1" applyBorder="1"/>
    <xf numFmtId="0" fontId="44" fillId="3" borderId="13" xfId="7" applyFont="1" applyFill="1" applyBorder="1" applyAlignment="1">
      <alignment horizontal="center" wrapText="1"/>
    </xf>
    <xf numFmtId="166" fontId="47" fillId="3" borderId="12" xfId="8" applyNumberFormat="1" applyFont="1" applyFill="1" applyBorder="1" applyAlignment="1">
      <alignment horizontal="left" wrapText="1"/>
    </xf>
    <xf numFmtId="166" fontId="47" fillId="3" borderId="12" xfId="8" applyNumberFormat="1" applyFont="1" applyFill="1" applyBorder="1" applyAlignment="1">
      <alignment horizontal="center" wrapText="1"/>
    </xf>
    <xf numFmtId="43" fontId="47" fillId="3" borderId="13" xfId="8" applyNumberFormat="1" applyFont="1" applyFill="1" applyBorder="1" applyAlignment="1">
      <alignment horizontal="left" wrapText="1"/>
    </xf>
    <xf numFmtId="43" fontId="47" fillId="3" borderId="12" xfId="8" applyNumberFormat="1" applyFont="1" applyFill="1" applyBorder="1" applyAlignment="1">
      <alignment horizontal="left" wrapText="1"/>
    </xf>
    <xf numFmtId="43" fontId="47" fillId="3" borderId="88" xfId="8" applyNumberFormat="1" applyFont="1" applyFill="1" applyBorder="1" applyAlignment="1">
      <alignment horizontal="left" wrapText="1"/>
    </xf>
    <xf numFmtId="0" fontId="47" fillId="3" borderId="12" xfId="8" applyFont="1" applyFill="1" applyBorder="1" applyAlignment="1">
      <alignment horizontal="left" wrapText="1"/>
    </xf>
    <xf numFmtId="0" fontId="47" fillId="3" borderId="88" xfId="8" applyFont="1" applyFill="1" applyBorder="1" applyAlignment="1">
      <alignment horizontal="left" wrapText="1"/>
    </xf>
    <xf numFmtId="166" fontId="47" fillId="3" borderId="12" xfId="6" applyNumberFormat="1" applyFont="1" applyFill="1" applyBorder="1" applyAlignment="1" applyProtection="1">
      <alignment horizontal="left" wrapText="1"/>
    </xf>
    <xf numFmtId="166" fontId="47" fillId="3" borderId="88" xfId="6" applyNumberFormat="1" applyFont="1" applyFill="1" applyBorder="1" applyAlignment="1" applyProtection="1">
      <alignment horizontal="left" wrapText="1"/>
    </xf>
    <xf numFmtId="0" fontId="48" fillId="20" borderId="14" xfId="7" applyFont="1" applyFill="1" applyBorder="1"/>
    <xf numFmtId="0" fontId="48" fillId="11" borderId="0" xfId="7" applyFont="1" applyFill="1"/>
    <xf numFmtId="0" fontId="48" fillId="11" borderId="0" xfId="7" quotePrefix="1" applyFont="1" applyFill="1"/>
    <xf numFmtId="0" fontId="49" fillId="18" borderId="0" xfId="7" applyFont="1" applyFill="1"/>
    <xf numFmtId="0" fontId="48" fillId="11" borderId="0" xfId="7" applyFont="1" applyFill="1" applyAlignment="1">
      <alignment horizontal="left"/>
    </xf>
    <xf numFmtId="0" fontId="49" fillId="0" borderId="89" xfId="7" applyFont="1" applyBorder="1"/>
    <xf numFmtId="0" fontId="49" fillId="0" borderId="16" xfId="7" applyFont="1" applyBorder="1"/>
    <xf numFmtId="0" fontId="49" fillId="19" borderId="16" xfId="7" applyFont="1" applyFill="1" applyBorder="1"/>
    <xf numFmtId="0" fontId="49" fillId="0" borderId="16" xfId="7" applyFont="1" applyBorder="1" applyAlignment="1">
      <alignment horizontal="left"/>
    </xf>
    <xf numFmtId="0" fontId="49" fillId="0" borderId="90" xfId="7" applyFont="1" applyBorder="1"/>
    <xf numFmtId="166" fontId="49" fillId="20" borderId="16" xfId="6" applyNumberFormat="1" applyFont="1" applyFill="1" applyBorder="1" applyAlignment="1">
      <alignment wrapText="1"/>
    </xf>
    <xf numFmtId="166" fontId="49" fillId="20" borderId="91" xfId="6" applyNumberFormat="1" applyFont="1" applyFill="1" applyBorder="1" applyAlignment="1">
      <alignment wrapText="1"/>
    </xf>
    <xf numFmtId="166" fontId="49" fillId="20" borderId="90" xfId="6" applyNumberFormat="1" applyFont="1" applyFill="1" applyBorder="1" applyAlignment="1">
      <alignment wrapText="1"/>
    </xf>
    <xf numFmtId="166" fontId="49" fillId="0" borderId="89" xfId="6" applyNumberFormat="1" applyFont="1" applyFill="1" applyBorder="1" applyAlignment="1">
      <alignment wrapText="1"/>
    </xf>
    <xf numFmtId="166" fontId="49" fillId="0" borderId="16" xfId="6" applyNumberFormat="1" applyFont="1" applyFill="1" applyBorder="1" applyAlignment="1">
      <alignment wrapText="1"/>
    </xf>
    <xf numFmtId="166" fontId="49" fillId="0" borderId="90" xfId="6" applyNumberFormat="1" applyFont="1" applyFill="1" applyBorder="1" applyAlignment="1">
      <alignment wrapText="1"/>
    </xf>
    <xf numFmtId="166" fontId="49" fillId="20" borderId="89" xfId="6" applyNumberFormat="1" applyFont="1" applyFill="1" applyBorder="1" applyAlignment="1" applyProtection="1">
      <alignment wrapText="1"/>
    </xf>
    <xf numFmtId="166" fontId="49" fillId="20" borderId="16" xfId="6" applyNumberFormat="1" applyFont="1" applyFill="1" applyBorder="1" applyAlignment="1" applyProtection="1">
      <alignment wrapText="1"/>
    </xf>
    <xf numFmtId="166" fontId="49" fillId="20" borderId="90" xfId="6" applyNumberFormat="1" applyFont="1" applyFill="1" applyBorder="1" applyAlignment="1" applyProtection="1">
      <alignment wrapText="1"/>
    </xf>
    <xf numFmtId="0" fontId="51" fillId="20" borderId="92" xfId="0" applyFont="1" applyFill="1" applyBorder="1"/>
    <xf numFmtId="0" fontId="51" fillId="21" borderId="11" xfId="0" applyFont="1" applyFill="1" applyBorder="1"/>
    <xf numFmtId="165" fontId="51" fillId="21" borderId="11" xfId="6" applyNumberFormat="1" applyFont="1" applyFill="1" applyBorder="1"/>
    <xf numFmtId="165" fontId="21" fillId="21" borderId="93" xfId="6" applyNumberFormat="1" applyFont="1" applyFill="1" applyBorder="1" applyAlignment="1"/>
    <xf numFmtId="0" fontId="21" fillId="20" borderId="11" xfId="0" applyFont="1" applyFill="1" applyBorder="1" applyAlignment="1">
      <alignment horizontal="center"/>
    </xf>
    <xf numFmtId="0" fontId="21" fillId="20" borderId="93" xfId="0" applyFont="1" applyFill="1" applyBorder="1" applyAlignment="1">
      <alignment horizontal="center"/>
    </xf>
    <xf numFmtId="0" fontId="14" fillId="0" borderId="14" xfId="0" applyFont="1" applyBorder="1"/>
    <xf numFmtId="165" fontId="14" fillId="0" borderId="0" xfId="6" applyNumberFormat="1" applyFont="1" applyBorder="1"/>
    <xf numFmtId="165" fontId="14" fillId="0" borderId="0" xfId="6" applyNumberFormat="1" applyFont="1" applyBorder="1" applyAlignment="1">
      <alignment horizontal="left"/>
    </xf>
    <xf numFmtId="165" fontId="14" fillId="0" borderId="15" xfId="6" applyNumberFormat="1" applyFont="1" applyBorder="1"/>
    <xf numFmtId="0" fontId="14" fillId="20" borderId="0" xfId="0" applyFont="1" applyFill="1" applyAlignment="1">
      <alignment horizontal="center"/>
    </xf>
    <xf numFmtId="0" fontId="14" fillId="20" borderId="15" xfId="0" applyFont="1" applyFill="1" applyBorder="1" applyAlignment="1">
      <alignment horizontal="center"/>
    </xf>
    <xf numFmtId="0" fontId="14" fillId="22" borderId="14" xfId="0" applyFont="1" applyFill="1" applyBorder="1"/>
    <xf numFmtId="0" fontId="14" fillId="22" borderId="0" xfId="0" applyFont="1" applyFill="1"/>
    <xf numFmtId="165" fontId="14" fillId="22" borderId="0" xfId="6" applyNumberFormat="1" applyFont="1" applyFill="1" applyBorder="1"/>
    <xf numFmtId="165" fontId="14" fillId="22" borderId="0" xfId="6" applyNumberFormat="1" applyFont="1" applyFill="1" applyBorder="1" applyAlignment="1">
      <alignment horizontal="left"/>
    </xf>
    <xf numFmtId="165" fontId="14" fillId="22" borderId="15" xfId="6" applyNumberFormat="1" applyFont="1" applyFill="1" applyBorder="1"/>
    <xf numFmtId="0" fontId="14" fillId="0" borderId="89" xfId="0" applyFont="1" applyBorder="1"/>
    <xf numFmtId="165" fontId="14" fillId="0" borderId="16" xfId="6" applyNumberFormat="1" applyFont="1" applyBorder="1"/>
    <xf numFmtId="165" fontId="14" fillId="0" borderId="16" xfId="6" applyNumberFormat="1" applyFont="1" applyBorder="1" applyAlignment="1">
      <alignment horizontal="left"/>
    </xf>
    <xf numFmtId="165" fontId="14" fillId="0" borderId="90" xfId="6" applyNumberFormat="1" applyFont="1" applyBorder="1"/>
    <xf numFmtId="0" fontId="14" fillId="20" borderId="16" xfId="0" applyFont="1" applyFill="1" applyBorder="1" applyAlignment="1">
      <alignment horizontal="center"/>
    </xf>
    <xf numFmtId="0" fontId="14" fillId="20" borderId="90" xfId="0" applyFont="1" applyFill="1" applyBorder="1" applyAlignment="1">
      <alignment horizontal="center"/>
    </xf>
    <xf numFmtId="1" fontId="21" fillId="20" borderId="11" xfId="0" applyNumberFormat="1" applyFont="1" applyFill="1" applyBorder="1" applyAlignment="1">
      <alignment horizontal="center"/>
    </xf>
    <xf numFmtId="0" fontId="20" fillId="2" borderId="12" xfId="0" applyFont="1" applyFill="1" applyBorder="1"/>
    <xf numFmtId="0" fontId="24" fillId="2" borderId="13" xfId="0" applyFont="1" applyFill="1" applyBorder="1"/>
    <xf numFmtId="0" fontId="20" fillId="2" borderId="13" xfId="0" applyFont="1" applyFill="1" applyBorder="1"/>
    <xf numFmtId="0" fontId="20" fillId="2" borderId="94" xfId="0" applyFont="1" applyFill="1" applyBorder="1"/>
    <xf numFmtId="0" fontId="52" fillId="0" borderId="0" xfId="0" applyFont="1"/>
    <xf numFmtId="166" fontId="24" fillId="2" borderId="14" xfId="4" applyNumberFormat="1" applyFont="1" applyFill="1" applyBorder="1"/>
    <xf numFmtId="0" fontId="24" fillId="2" borderId="0" xfId="0" applyFont="1" applyFill="1"/>
    <xf numFmtId="0" fontId="20" fillId="2" borderId="0" xfId="0" applyFont="1" applyFill="1"/>
    <xf numFmtId="0" fontId="20" fillId="2" borderId="15" xfId="0" applyFont="1" applyFill="1" applyBorder="1"/>
    <xf numFmtId="0" fontId="51" fillId="0" borderId="0" xfId="0" applyFont="1"/>
    <xf numFmtId="0" fontId="21" fillId="2" borderId="0" xfId="0" applyFont="1" applyFill="1" applyAlignment="1">
      <alignment horizontal="center"/>
    </xf>
    <xf numFmtId="0" fontId="20" fillId="2" borderId="14" xfId="0" applyFont="1" applyFill="1" applyBorder="1"/>
    <xf numFmtId="0" fontId="22" fillId="2" borderId="0" xfId="0" applyFont="1" applyFill="1"/>
    <xf numFmtId="166" fontId="24" fillId="2" borderId="0" xfId="4" applyNumberFormat="1" applyFont="1" applyFill="1" applyBorder="1" applyAlignment="1">
      <alignment horizontal="centerContinuous"/>
    </xf>
    <xf numFmtId="166" fontId="24" fillId="2" borderId="0" xfId="4" applyNumberFormat="1" applyFont="1" applyFill="1" applyBorder="1" applyAlignment="1">
      <alignment horizontal="center"/>
    </xf>
    <xf numFmtId="168" fontId="22" fillId="2" borderId="0" xfId="3" quotePrefix="1" applyNumberFormat="1" applyFont="1" applyFill="1" applyAlignment="1">
      <alignment horizontal="left" indent="1"/>
    </xf>
    <xf numFmtId="0" fontId="20" fillId="2" borderId="0" xfId="3" applyFont="1" applyFill="1" applyAlignment="1">
      <alignment horizontal="left" indent="2"/>
    </xf>
    <xf numFmtId="169" fontId="20" fillId="20" borderId="0" xfId="4" applyNumberFormat="1" applyFont="1" applyFill="1" applyBorder="1" applyAlignment="1">
      <alignment horizontal="right"/>
    </xf>
    <xf numFmtId="169" fontId="20" fillId="2" borderId="0" xfId="4" applyNumberFormat="1" applyFont="1" applyFill="1" applyBorder="1"/>
    <xf numFmtId="0" fontId="54" fillId="2" borderId="14" xfId="0" applyFont="1" applyFill="1" applyBorder="1"/>
    <xf numFmtId="0" fontId="54" fillId="2" borderId="0" xfId="3" applyFont="1" applyFill="1" applyAlignment="1">
      <alignment horizontal="left" indent="1"/>
    </xf>
    <xf numFmtId="169" fontId="24" fillId="2" borderId="0" xfId="4" applyNumberFormat="1" applyFont="1" applyFill="1" applyBorder="1" applyAlignment="1">
      <alignment horizontal="right"/>
    </xf>
    <xf numFmtId="169" fontId="24" fillId="2" borderId="0" xfId="4" applyNumberFormat="1" applyFont="1" applyFill="1" applyBorder="1"/>
    <xf numFmtId="0" fontId="54" fillId="2" borderId="15" xfId="0" applyFont="1" applyFill="1" applyBorder="1"/>
    <xf numFmtId="0" fontId="54" fillId="0" borderId="0" xfId="0" applyFont="1"/>
    <xf numFmtId="169" fontId="20" fillId="2" borderId="0" xfId="4" applyNumberFormat="1" applyFont="1" applyFill="1" applyBorder="1" applyAlignment="1">
      <alignment horizontal="right"/>
    </xf>
    <xf numFmtId="0" fontId="20" fillId="2" borderId="0" xfId="4" quotePrefix="1" applyNumberFormat="1" applyFont="1" applyFill="1" applyBorder="1" applyAlignment="1">
      <alignment horizontal="left" indent="2"/>
    </xf>
    <xf numFmtId="0" fontId="24" fillId="2" borderId="0" xfId="3" quotePrefix="1" applyFont="1" applyFill="1" applyAlignment="1">
      <alignment horizontal="left" indent="1"/>
    </xf>
    <xf numFmtId="169" fontId="24" fillId="8" borderId="11" xfId="4" applyNumberFormat="1" applyFont="1" applyFill="1" applyBorder="1" applyAlignment="1">
      <alignment horizontal="right"/>
    </xf>
    <xf numFmtId="0" fontId="24" fillId="2" borderId="14" xfId="0" applyFont="1" applyFill="1" applyBorder="1"/>
    <xf numFmtId="0" fontId="22" fillId="2" borderId="0" xfId="0" quotePrefix="1" applyFont="1" applyFill="1" applyAlignment="1">
      <alignment horizontal="left" indent="1"/>
    </xf>
    <xf numFmtId="0" fontId="22" fillId="2" borderId="0" xfId="0" quotePrefix="1" applyFont="1" applyFill="1" applyAlignment="1">
      <alignment horizontal="right" indent="1"/>
    </xf>
    <xf numFmtId="0" fontId="20" fillId="2" borderId="0" xfId="4" applyNumberFormat="1" applyFont="1" applyFill="1" applyBorder="1" applyAlignment="1">
      <alignment horizontal="left" indent="2"/>
    </xf>
    <xf numFmtId="169" fontId="20" fillId="8" borderId="0" xfId="4" applyNumberFormat="1" applyFont="1" applyFill="1" applyBorder="1" applyAlignment="1">
      <alignment horizontal="right"/>
    </xf>
    <xf numFmtId="0" fontId="20" fillId="2" borderId="0" xfId="0" applyFont="1" applyFill="1" applyAlignment="1">
      <alignment horizontal="left" indent="1"/>
    </xf>
    <xf numFmtId="0" fontId="24" fillId="2" borderId="0" xfId="0" applyFont="1" applyFill="1" applyAlignment="1">
      <alignment horizontal="left" indent="2"/>
    </xf>
    <xf numFmtId="169" fontId="24" fillId="20" borderId="0" xfId="4" applyNumberFormat="1" applyFont="1" applyFill="1" applyBorder="1" applyAlignment="1">
      <alignment horizontal="right"/>
    </xf>
    <xf numFmtId="0" fontId="20" fillId="2" borderId="0" xfId="4" quotePrefix="1" applyNumberFormat="1" applyFont="1" applyFill="1" applyBorder="1" applyAlignment="1">
      <alignment horizontal="left" indent="3"/>
    </xf>
    <xf numFmtId="0" fontId="20" fillId="2" borderId="0" xfId="0" applyFont="1" applyFill="1" applyAlignment="1">
      <alignment horizontal="left" indent="3"/>
    </xf>
    <xf numFmtId="0" fontId="24" fillId="2" borderId="15" xfId="0" applyFont="1" applyFill="1" applyBorder="1"/>
    <xf numFmtId="0" fontId="24" fillId="0" borderId="0" xfId="0" applyFont="1"/>
    <xf numFmtId="0" fontId="20" fillId="2" borderId="0" xfId="0" applyFont="1" applyFill="1" applyAlignment="1">
      <alignment horizontal="left" wrapText="1" indent="3"/>
    </xf>
    <xf numFmtId="0" fontId="24" fillId="2" borderId="10" xfId="0" applyFont="1" applyFill="1" applyBorder="1"/>
    <xf numFmtId="0" fontId="20" fillId="2" borderId="0" xfId="0" applyFont="1" applyFill="1" applyAlignment="1">
      <alignment horizontal="left"/>
    </xf>
    <xf numFmtId="0" fontId="20" fillId="2" borderId="11" xfId="3" applyFont="1" applyFill="1" applyBorder="1" applyAlignment="1">
      <alignment horizontal="left"/>
    </xf>
    <xf numFmtId="0" fontId="20" fillId="2" borderId="0" xfId="3" applyFont="1" applyFill="1" applyAlignment="1">
      <alignment horizontal="left"/>
    </xf>
    <xf numFmtId="0" fontId="20" fillId="2" borderId="0" xfId="3" quotePrefix="1" applyFont="1" applyFill="1" applyAlignment="1">
      <alignment horizontal="left"/>
    </xf>
    <xf numFmtId="0" fontId="20" fillId="2" borderId="89" xfId="0" applyFont="1" applyFill="1" applyBorder="1"/>
    <xf numFmtId="0" fontId="20" fillId="2" borderId="16" xfId="0" applyFont="1" applyFill="1" applyBorder="1"/>
    <xf numFmtId="0" fontId="20" fillId="2" borderId="90" xfId="0" applyFont="1" applyFill="1" applyBorder="1"/>
    <xf numFmtId="168" fontId="22" fillId="2" borderId="0" xfId="3" quotePrefix="1" applyNumberFormat="1" applyFont="1" applyFill="1"/>
    <xf numFmtId="0" fontId="24" fillId="2" borderId="0" xfId="0" applyFont="1" applyFill="1" applyAlignment="1">
      <alignment horizontal="left" indent="1"/>
    </xf>
    <xf numFmtId="0" fontId="20" fillId="2" borderId="0" xfId="0" applyFont="1" applyFill="1" applyAlignment="1">
      <alignment horizontal="left" indent="2"/>
    </xf>
    <xf numFmtId="0" fontId="24" fillId="2" borderId="16" xfId="0" applyFont="1" applyFill="1" applyBorder="1"/>
    <xf numFmtId="169" fontId="24" fillId="2" borderId="16" xfId="4" applyNumberFormat="1" applyFont="1" applyFill="1" applyBorder="1" applyAlignment="1">
      <alignment horizontal="right"/>
    </xf>
    <xf numFmtId="169" fontId="24" fillId="2" borderId="16" xfId="4" applyNumberFormat="1" applyFont="1" applyFill="1" applyBorder="1"/>
    <xf numFmtId="0" fontId="14" fillId="2" borderId="12" xfId="0" applyFont="1" applyFill="1" applyBorder="1"/>
    <xf numFmtId="0" fontId="14" fillId="2" borderId="13" xfId="0" applyFont="1" applyFill="1" applyBorder="1"/>
    <xf numFmtId="0" fontId="14" fillId="2" borderId="94" xfId="0" applyFont="1" applyFill="1" applyBorder="1"/>
    <xf numFmtId="0" fontId="14" fillId="2" borderId="14" xfId="0" applyFont="1" applyFill="1" applyBorder="1"/>
    <xf numFmtId="0" fontId="14" fillId="2" borderId="0" xfId="0" applyFont="1" applyFill="1"/>
    <xf numFmtId="0" fontId="55" fillId="2" borderId="0" xfId="0" applyFont="1" applyFill="1" applyAlignment="1">
      <alignment horizontal="center"/>
    </xf>
    <xf numFmtId="0" fontId="14" fillId="2" borderId="15" xfId="0" applyFont="1" applyFill="1" applyBorder="1"/>
    <xf numFmtId="166" fontId="24" fillId="2" borderId="14" xfId="6" applyNumberFormat="1" applyFont="1" applyFill="1" applyBorder="1"/>
    <xf numFmtId="0" fontId="53" fillId="2" borderId="0" xfId="0" applyFont="1" applyFill="1" applyAlignment="1">
      <alignment horizontal="left"/>
    </xf>
    <xf numFmtId="0" fontId="22" fillId="2" borderId="0" xfId="0" applyFont="1" applyFill="1" applyAlignment="1">
      <alignment horizontal="left"/>
    </xf>
    <xf numFmtId="0" fontId="23" fillId="2" borderId="0" xfId="0" applyFont="1" applyFill="1"/>
    <xf numFmtId="165" fontId="20" fillId="20" borderId="0" xfId="6" quotePrefix="1" applyNumberFormat="1" applyFont="1" applyFill="1" applyBorder="1" applyAlignment="1">
      <alignment horizontal="right" wrapText="1"/>
    </xf>
    <xf numFmtId="165" fontId="20" fillId="2" borderId="0" xfId="6" quotePrefix="1" applyNumberFormat="1" applyFont="1" applyFill="1" applyBorder="1" applyAlignment="1">
      <alignment horizontal="right" wrapText="1"/>
    </xf>
    <xf numFmtId="0" fontId="22" fillId="2" borderId="0" xfId="6" quotePrefix="1" applyNumberFormat="1" applyFont="1" applyFill="1" applyBorder="1" applyAlignment="1">
      <alignment horizontal="right" wrapText="1"/>
    </xf>
    <xf numFmtId="0" fontId="14" fillId="2" borderId="0" xfId="0" applyFont="1" applyFill="1" applyAlignment="1">
      <alignment horizontal="left" indent="3"/>
    </xf>
    <xf numFmtId="165" fontId="20" fillId="8" borderId="0" xfId="6" quotePrefix="1" applyNumberFormat="1" applyFont="1" applyFill="1" applyBorder="1" applyAlignment="1">
      <alignment horizontal="right" wrapText="1"/>
    </xf>
    <xf numFmtId="167" fontId="20" fillId="2" borderId="0" xfId="6" applyNumberFormat="1" applyFont="1" applyFill="1" applyBorder="1" applyAlignment="1">
      <alignment horizontal="right"/>
    </xf>
    <xf numFmtId="167" fontId="20" fillId="20" borderId="0" xfId="6" applyNumberFormat="1" applyFont="1" applyFill="1" applyBorder="1" applyAlignment="1">
      <alignment horizontal="right"/>
    </xf>
    <xf numFmtId="0" fontId="21" fillId="2" borderId="0" xfId="0" applyFont="1" applyFill="1" applyAlignment="1">
      <alignment horizontal="left" indent="1"/>
    </xf>
    <xf numFmtId="167" fontId="24" fillId="8" borderId="11" xfId="6" applyNumberFormat="1" applyFont="1" applyFill="1" applyBorder="1" applyAlignment="1">
      <alignment horizontal="right"/>
    </xf>
    <xf numFmtId="167" fontId="24" fillId="2" borderId="0" xfId="6" applyNumberFormat="1" applyFont="1" applyFill="1" applyBorder="1" applyAlignment="1">
      <alignment horizontal="right"/>
    </xf>
    <xf numFmtId="165" fontId="14" fillId="2" borderId="0" xfId="6" applyNumberFormat="1" applyFont="1" applyFill="1" applyBorder="1" applyAlignment="1">
      <alignment horizontal="right"/>
    </xf>
    <xf numFmtId="165" fontId="14" fillId="2" borderId="0" xfId="6" applyNumberFormat="1" applyFont="1" applyFill="1" applyBorder="1"/>
    <xf numFmtId="0" fontId="21" fillId="2" borderId="14" xfId="0" applyFont="1" applyFill="1" applyBorder="1"/>
    <xf numFmtId="0" fontId="21" fillId="2" borderId="15" xfId="0" applyFont="1" applyFill="1" applyBorder="1"/>
    <xf numFmtId="167" fontId="20" fillId="2" borderId="0" xfId="6" applyNumberFormat="1" applyFont="1" applyFill="1" applyBorder="1" applyAlignment="1">
      <alignment horizontal="right" vertical="top"/>
    </xf>
    <xf numFmtId="0" fontId="23" fillId="2" borderId="0" xfId="0" applyFont="1" applyFill="1" applyAlignment="1">
      <alignment horizontal="left" vertical="top" wrapText="1"/>
    </xf>
    <xf numFmtId="0" fontId="14" fillId="2" borderId="0" xfId="0" applyFont="1" applyFill="1" applyAlignment="1">
      <alignment horizontal="left" indent="1"/>
    </xf>
    <xf numFmtId="0" fontId="23" fillId="2" borderId="0" xfId="0" applyFont="1" applyFill="1" applyAlignment="1">
      <alignment horizontal="left" indent="1"/>
    </xf>
    <xf numFmtId="167" fontId="24" fillId="2" borderId="0" xfId="6" applyNumberFormat="1" applyFont="1" applyFill="1" applyBorder="1" applyAlignment="1">
      <alignment horizontal="center"/>
    </xf>
    <xf numFmtId="0" fontId="22" fillId="2" borderId="11" xfId="6" quotePrefix="1" applyNumberFormat="1" applyFont="1" applyFill="1" applyBorder="1" applyAlignment="1">
      <alignment horizontal="right" wrapText="1"/>
    </xf>
    <xf numFmtId="167" fontId="20" fillId="2" borderId="10" xfId="0" applyNumberFormat="1" applyFont="1" applyFill="1" applyBorder="1"/>
    <xf numFmtId="167" fontId="20" fillId="2" borderId="0" xfId="0" applyNumberFormat="1" applyFont="1" applyFill="1"/>
    <xf numFmtId="0" fontId="14" fillId="2" borderId="89" xfId="0" applyFont="1" applyFill="1" applyBorder="1"/>
    <xf numFmtId="0" fontId="14" fillId="2" borderId="16" xfId="0" applyFont="1" applyFill="1" applyBorder="1"/>
    <xf numFmtId="0" fontId="14" fillId="2" borderId="90" xfId="0" applyFont="1" applyFill="1" applyBorder="1"/>
    <xf numFmtId="165" fontId="0" fillId="0" borderId="0" xfId="6" applyNumberFormat="1" applyFont="1" applyFill="1" applyBorder="1"/>
    <xf numFmtId="0" fontId="52" fillId="0" borderId="0" xfId="0" applyFont="1" applyAlignment="1">
      <alignment horizontal="center"/>
    </xf>
    <xf numFmtId="165" fontId="51" fillId="0" borderId="0" xfId="6" applyNumberFormat="1" applyFont="1" applyFill="1" applyBorder="1"/>
    <xf numFmtId="165" fontId="21" fillId="0" borderId="0" xfId="6" applyNumberFormat="1" applyFont="1" applyFill="1" applyBorder="1" applyAlignment="1"/>
    <xf numFmtId="1" fontId="21" fillId="0" borderId="0" xfId="0" applyNumberFormat="1" applyFont="1" applyAlignment="1">
      <alignment horizontal="center"/>
    </xf>
    <xf numFmtId="0" fontId="21" fillId="0" borderId="0" xfId="0" applyFont="1" applyAlignment="1">
      <alignment horizontal="center"/>
    </xf>
    <xf numFmtId="0" fontId="24" fillId="2" borderId="13" xfId="0" applyFont="1" applyFill="1" applyBorder="1" applyAlignment="1">
      <alignment horizontal="left"/>
    </xf>
    <xf numFmtId="0" fontId="20" fillId="2" borderId="13" xfId="0" applyFont="1" applyFill="1" applyBorder="1" applyAlignment="1">
      <alignment horizontal="left"/>
    </xf>
    <xf numFmtId="0" fontId="24" fillId="2" borderId="0" xfId="0" applyFont="1" applyFill="1" applyAlignment="1">
      <alignment horizontal="left"/>
    </xf>
    <xf numFmtId="0" fontId="24" fillId="2" borderId="0" xfId="0" applyFont="1" applyFill="1" applyAlignment="1">
      <alignment horizontal="center"/>
    </xf>
    <xf numFmtId="167" fontId="24" fillId="2" borderId="0" xfId="0" applyNumberFormat="1" applyFont="1" applyFill="1" applyAlignment="1">
      <alignment horizontal="left"/>
    </xf>
    <xf numFmtId="167" fontId="24" fillId="2" borderId="0" xfId="0" applyNumberFormat="1" applyFont="1" applyFill="1" applyAlignment="1">
      <alignment horizontal="center"/>
    </xf>
    <xf numFmtId="167" fontId="22" fillId="2" borderId="0" xfId="0" applyNumberFormat="1" applyFont="1" applyFill="1"/>
    <xf numFmtId="1" fontId="22" fillId="2" borderId="0" xfId="4" applyNumberFormat="1" applyFont="1" applyFill="1" applyBorder="1" applyAlignment="1">
      <alignment horizontal="right" wrapText="1"/>
    </xf>
    <xf numFmtId="1" fontId="22" fillId="2" borderId="0" xfId="4" applyNumberFormat="1" applyFont="1" applyFill="1" applyBorder="1" applyAlignment="1">
      <alignment horizontal="left" wrapText="1" indent="3"/>
    </xf>
    <xf numFmtId="0" fontId="56" fillId="2" borderId="14" xfId="0" applyFont="1" applyFill="1" applyBorder="1"/>
    <xf numFmtId="167" fontId="57" fillId="2" borderId="0" xfId="0" applyNumberFormat="1" applyFont="1" applyFill="1"/>
    <xf numFmtId="1" fontId="57" fillId="2" borderId="0" xfId="4" applyNumberFormat="1" applyFont="1" applyFill="1" applyBorder="1" applyAlignment="1">
      <alignment horizontal="right" wrapText="1"/>
    </xf>
    <xf numFmtId="1" fontId="57" fillId="2" borderId="0" xfId="4" applyNumberFormat="1" applyFont="1" applyFill="1" applyBorder="1" applyAlignment="1">
      <alignment horizontal="left" wrapText="1" indent="3"/>
    </xf>
    <xf numFmtId="0" fontId="56" fillId="2" borderId="15" xfId="0" applyFont="1" applyFill="1" applyBorder="1"/>
    <xf numFmtId="0" fontId="56" fillId="0" borderId="0" xfId="0" applyFont="1"/>
    <xf numFmtId="0" fontId="20" fillId="8" borderId="0" xfId="0" applyFont="1" applyFill="1" applyAlignment="1">
      <alignment horizontal="left" indent="1"/>
    </xf>
    <xf numFmtId="164" fontId="20" fillId="8" borderId="0" xfId="1" applyFont="1" applyFill="1" applyBorder="1" applyAlignment="1">
      <alignment horizontal="right"/>
    </xf>
    <xf numFmtId="0" fontId="20" fillId="2" borderId="0" xfId="0" applyFont="1" applyFill="1" applyAlignment="1">
      <alignment horizontal="left" indent="4"/>
    </xf>
    <xf numFmtId="164" fontId="20" fillId="2" borderId="0" xfId="1" applyFont="1" applyFill="1" applyBorder="1" applyAlignment="1">
      <alignment horizontal="left" indent="4"/>
    </xf>
    <xf numFmtId="0" fontId="20" fillId="2" borderId="0" xfId="0" applyFont="1" applyFill="1" applyAlignment="1">
      <alignment horizontal="left" wrapText="1" indent="4"/>
    </xf>
    <xf numFmtId="0" fontId="20" fillId="2" borderId="0" xfId="0" applyFont="1" applyFill="1" applyAlignment="1">
      <alignment horizontal="left" wrapText="1" indent="1"/>
    </xf>
    <xf numFmtId="0" fontId="24" fillId="8" borderId="0" xfId="0" applyFont="1" applyFill="1"/>
    <xf numFmtId="164" fontId="24" fillId="8" borderId="11" xfId="1" applyFont="1" applyFill="1" applyBorder="1" applyAlignment="1">
      <alignment horizontal="right"/>
    </xf>
    <xf numFmtId="164" fontId="24" fillId="8" borderId="0" xfId="1" applyFont="1" applyFill="1" applyBorder="1" applyAlignment="1">
      <alignment horizontal="right"/>
    </xf>
    <xf numFmtId="164" fontId="24" fillId="2" borderId="0" xfId="1" applyFont="1" applyFill="1" applyBorder="1" applyAlignment="1">
      <alignment horizontal="left" indent="3"/>
    </xf>
    <xf numFmtId="167" fontId="20" fillId="2" borderId="11" xfId="0" applyNumberFormat="1" applyFont="1" applyFill="1" applyBorder="1"/>
    <xf numFmtId="0" fontId="20" fillId="20" borderId="0" xfId="0" applyFont="1" applyFill="1"/>
    <xf numFmtId="166" fontId="20" fillId="20" borderId="1" xfId="4" applyNumberFormat="1" applyFont="1" applyFill="1" applyBorder="1"/>
    <xf numFmtId="166" fontId="20" fillId="20" borderId="11" xfId="4" applyNumberFormat="1" applyFont="1" applyFill="1" applyBorder="1"/>
    <xf numFmtId="166" fontId="20" fillId="20" borderId="2" xfId="4" applyNumberFormat="1" applyFont="1" applyFill="1" applyBorder="1"/>
    <xf numFmtId="166" fontId="20" fillId="0" borderId="0" xfId="4" applyNumberFormat="1" applyFont="1" applyFill="1" applyBorder="1"/>
    <xf numFmtId="166" fontId="20" fillId="20" borderId="4" xfId="4" applyNumberFormat="1" applyFont="1" applyFill="1" applyBorder="1"/>
    <xf numFmtId="166" fontId="20" fillId="20" borderId="0" xfId="4" applyNumberFormat="1" applyFont="1" applyFill="1" applyBorder="1"/>
    <xf numFmtId="166" fontId="20" fillId="20" borderId="3" xfId="4" applyNumberFormat="1" applyFont="1" applyFill="1" applyBorder="1"/>
    <xf numFmtId="0" fontId="20" fillId="0" borderId="0" xfId="0" applyFont="1" applyAlignment="1">
      <alignment wrapText="1"/>
    </xf>
    <xf numFmtId="166" fontId="20" fillId="20" borderId="7" xfId="4" applyNumberFormat="1" applyFont="1" applyFill="1" applyBorder="1"/>
    <xf numFmtId="166" fontId="20" fillId="20" borderId="10" xfId="4" applyNumberFormat="1" applyFont="1" applyFill="1" applyBorder="1"/>
    <xf numFmtId="166" fontId="20" fillId="20" borderId="8" xfId="4" applyNumberFormat="1" applyFont="1" applyFill="1" applyBorder="1"/>
    <xf numFmtId="166" fontId="20" fillId="0" borderId="0" xfId="4" applyNumberFormat="1" applyFont="1" applyFill="1"/>
    <xf numFmtId="165" fontId="52" fillId="0" borderId="0" xfId="6" applyNumberFormat="1" applyFont="1" applyFill="1" applyBorder="1"/>
    <xf numFmtId="165" fontId="52" fillId="0" borderId="0" xfId="6" applyNumberFormat="1" applyFont="1" applyFill="1" applyBorder="1" applyAlignment="1">
      <alignment horizontal="left"/>
    </xf>
    <xf numFmtId="0" fontId="24" fillId="2" borderId="13" xfId="0" applyFont="1" applyFill="1" applyBorder="1" applyAlignment="1">
      <alignment horizontal="center"/>
    </xf>
    <xf numFmtId="0" fontId="24" fillId="2" borderId="0" xfId="0" applyFont="1" applyFill="1" applyAlignment="1">
      <alignment horizontal="center" wrapText="1"/>
    </xf>
    <xf numFmtId="0" fontId="14" fillId="0" borderId="0" xfId="0" applyFont="1" applyAlignment="1">
      <alignment horizontal="center"/>
    </xf>
    <xf numFmtId="0" fontId="56" fillId="2" borderId="0" xfId="0" applyFont="1" applyFill="1"/>
    <xf numFmtId="0" fontId="57" fillId="2" borderId="0" xfId="0" applyFont="1" applyFill="1"/>
    <xf numFmtId="0" fontId="20" fillId="20" borderId="0" xfId="0" applyFont="1" applyFill="1" applyAlignment="1">
      <alignment horizontal="left" indent="1"/>
    </xf>
    <xf numFmtId="0" fontId="20" fillId="20" borderId="0" xfId="0" applyFont="1" applyFill="1" applyAlignment="1">
      <alignment horizontal="center"/>
    </xf>
    <xf numFmtId="0" fontId="20" fillId="2" borderId="0" xfId="0" applyFont="1" applyFill="1" applyAlignment="1">
      <alignment horizontal="center"/>
    </xf>
    <xf numFmtId="0" fontId="20" fillId="2" borderId="10" xfId="0" applyFont="1" applyFill="1" applyBorder="1"/>
    <xf numFmtId="9" fontId="20" fillId="20" borderId="15" xfId="4" applyNumberFormat="1" applyFont="1" applyFill="1" applyBorder="1"/>
    <xf numFmtId="165" fontId="24" fillId="20" borderId="0" xfId="5" applyNumberFormat="1" applyFont="1" applyFill="1" applyBorder="1" applyAlignment="1"/>
    <xf numFmtId="165" fontId="24" fillId="20" borderId="15" xfId="5" applyNumberFormat="1" applyFont="1" applyFill="1" applyBorder="1" applyAlignment="1"/>
    <xf numFmtId="0" fontId="20" fillId="0" borderId="15" xfId="7" applyFont="1" applyBorder="1"/>
    <xf numFmtId="165" fontId="20" fillId="20" borderId="0" xfId="5" applyNumberFormat="1" applyFont="1" applyFill="1" applyBorder="1" applyAlignment="1"/>
    <xf numFmtId="165" fontId="20" fillId="20" borderId="15" xfId="5" applyNumberFormat="1" applyFont="1" applyFill="1" applyBorder="1" applyAlignment="1"/>
    <xf numFmtId="165" fontId="14" fillId="0" borderId="0" xfId="5" applyNumberFormat="1" applyFont="1" applyFill="1" applyBorder="1"/>
    <xf numFmtId="165" fontId="14" fillId="0" borderId="15" xfId="5" applyNumberFormat="1" applyFont="1" applyFill="1" applyBorder="1"/>
    <xf numFmtId="0" fontId="53" fillId="0" borderId="0" xfId="0" applyFont="1" applyAlignment="1">
      <alignment horizontal="left"/>
    </xf>
    <xf numFmtId="0" fontId="21" fillId="25" borderId="0" xfId="7" applyFont="1" applyFill="1"/>
    <xf numFmtId="0" fontId="39" fillId="26" borderId="0" xfId="7" applyFont="1" applyFill="1"/>
    <xf numFmtId="0" fontId="21" fillId="25" borderId="15" xfId="7" applyFont="1" applyFill="1" applyBorder="1"/>
    <xf numFmtId="165" fontId="21" fillId="20" borderId="0" xfId="5" applyNumberFormat="1" applyFont="1" applyFill="1" applyBorder="1"/>
    <xf numFmtId="165" fontId="21" fillId="20" borderId="15" xfId="5" applyNumberFormat="1" applyFont="1" applyFill="1" applyBorder="1"/>
    <xf numFmtId="165" fontId="21" fillId="25" borderId="0" xfId="5" applyNumberFormat="1" applyFont="1" applyFill="1" applyBorder="1"/>
    <xf numFmtId="165" fontId="21" fillId="25" borderId="15" xfId="5" applyNumberFormat="1" applyFont="1" applyFill="1" applyBorder="1"/>
    <xf numFmtId="0" fontId="14" fillId="2" borderId="0" xfId="7" applyFont="1" applyFill="1"/>
    <xf numFmtId="0" fontId="39" fillId="27" borderId="0" xfId="7" applyFont="1" applyFill="1"/>
    <xf numFmtId="0" fontId="14" fillId="2" borderId="15" xfId="7" applyFont="1" applyFill="1" applyBorder="1"/>
    <xf numFmtId="165" fontId="14" fillId="20" borderId="0" xfId="5" applyNumberFormat="1" applyFont="1" applyFill="1" applyBorder="1"/>
    <xf numFmtId="165" fontId="14" fillId="20" borderId="15" xfId="5" applyNumberFormat="1" applyFont="1" applyFill="1" applyBorder="1"/>
    <xf numFmtId="165" fontId="14" fillId="2" borderId="0" xfId="5" applyNumberFormat="1" applyFont="1" applyFill="1" applyBorder="1"/>
    <xf numFmtId="165" fontId="14" fillId="2" borderId="15" xfId="5" applyNumberFormat="1" applyFont="1" applyFill="1" applyBorder="1"/>
    <xf numFmtId="0" fontId="14" fillId="12" borderId="0" xfId="7" applyFont="1" applyFill="1"/>
    <xf numFmtId="0" fontId="39" fillId="28" borderId="0" xfId="7" applyFont="1" applyFill="1"/>
    <xf numFmtId="0" fontId="14" fillId="12" borderId="15" xfId="7" applyFont="1" applyFill="1" applyBorder="1"/>
    <xf numFmtId="165" fontId="14" fillId="12" borderId="0" xfId="5" applyNumberFormat="1" applyFont="1" applyFill="1" applyBorder="1"/>
    <xf numFmtId="165" fontId="14" fillId="12" borderId="15" xfId="5" applyNumberFormat="1" applyFont="1" applyFill="1" applyBorder="1"/>
    <xf numFmtId="0" fontId="26" fillId="3" borderId="12" xfId="7" applyFont="1" applyFill="1" applyBorder="1"/>
    <xf numFmtId="0" fontId="26" fillId="3" borderId="13" xfId="7" applyFont="1" applyFill="1" applyBorder="1"/>
    <xf numFmtId="0" fontId="45" fillId="3" borderId="13" xfId="7" applyFont="1" applyFill="1" applyBorder="1" applyAlignment="1">
      <alignment wrapText="1"/>
    </xf>
    <xf numFmtId="0" fontId="26" fillId="3" borderId="13" xfId="7" applyFont="1" applyFill="1" applyBorder="1" applyAlignment="1">
      <alignment wrapText="1"/>
    </xf>
    <xf numFmtId="0" fontId="26" fillId="3" borderId="94" xfId="7" applyFont="1" applyFill="1" applyBorder="1" applyAlignment="1">
      <alignment wrapText="1"/>
    </xf>
    <xf numFmtId="0" fontId="21" fillId="20" borderId="14" xfId="7" applyFont="1" applyFill="1" applyBorder="1"/>
    <xf numFmtId="0" fontId="14" fillId="2" borderId="14" xfId="7" applyFont="1" applyFill="1" applyBorder="1"/>
    <xf numFmtId="0" fontId="14" fillId="12" borderId="14" xfId="7" applyFont="1" applyFill="1" applyBorder="1"/>
    <xf numFmtId="0" fontId="14" fillId="2" borderId="89" xfId="7" applyFont="1" applyFill="1" applyBorder="1"/>
    <xf numFmtId="0" fontId="14" fillId="2" borderId="16" xfId="7" applyFont="1" applyFill="1" applyBorder="1"/>
    <xf numFmtId="0" fontId="39" fillId="27" borderId="16" xfId="7" applyFont="1" applyFill="1" applyBorder="1"/>
    <xf numFmtId="0" fontId="14" fillId="2" borderId="90" xfId="7" applyFont="1" applyFill="1" applyBorder="1"/>
    <xf numFmtId="165" fontId="14" fillId="20" borderId="16" xfId="5" applyNumberFormat="1" applyFont="1" applyFill="1" applyBorder="1"/>
    <xf numFmtId="165" fontId="14" fillId="20" borderId="90" xfId="5" applyNumberFormat="1" applyFont="1" applyFill="1" applyBorder="1"/>
    <xf numFmtId="165" fontId="14" fillId="2" borderId="16" xfId="5" applyNumberFormat="1" applyFont="1" applyFill="1" applyBorder="1"/>
    <xf numFmtId="165" fontId="14" fillId="2" borderId="90" xfId="5" applyNumberFormat="1" applyFont="1" applyFill="1" applyBorder="1"/>
    <xf numFmtId="0" fontId="27" fillId="3" borderId="12" xfId="9" applyFont="1" applyFill="1" applyBorder="1"/>
    <xf numFmtId="0" fontId="27" fillId="3" borderId="13" xfId="9" applyFont="1" applyFill="1" applyBorder="1"/>
    <xf numFmtId="0" fontId="27" fillId="3" borderId="13" xfId="8" quotePrefix="1" applyFont="1" applyFill="1" applyBorder="1" applyAlignment="1">
      <alignment horizontal="right"/>
    </xf>
    <xf numFmtId="0" fontId="27" fillId="3" borderId="94" xfId="8" quotePrefix="1" applyFont="1" applyFill="1" applyBorder="1" applyAlignment="1">
      <alignment horizontal="right"/>
    </xf>
    <xf numFmtId="0" fontId="20" fillId="20" borderId="14" xfId="0" applyFont="1" applyFill="1" applyBorder="1" applyAlignment="1">
      <alignment horizontal="left" vertical="top"/>
    </xf>
    <xf numFmtId="9" fontId="20" fillId="20" borderId="0" xfId="4" applyNumberFormat="1" applyFont="1" applyFill="1" applyBorder="1"/>
    <xf numFmtId="0" fontId="20" fillId="0" borderId="14" xfId="0" applyFont="1" applyBorder="1" applyAlignment="1">
      <alignment horizontal="left" vertical="top"/>
    </xf>
    <xf numFmtId="0" fontId="20" fillId="0" borderId="89" xfId="0" applyFont="1" applyBorder="1" applyAlignment="1">
      <alignment horizontal="left" vertical="top"/>
    </xf>
    <xf numFmtId="0" fontId="20" fillId="0" borderId="16" xfId="0" applyFont="1" applyBorder="1" applyAlignment="1">
      <alignment horizontal="left" indent="1"/>
    </xf>
    <xf numFmtId="0" fontId="20" fillId="0" borderId="90" xfId="0" applyFont="1" applyBorder="1" applyAlignment="1">
      <alignment horizontal="left" indent="1"/>
    </xf>
    <xf numFmtId="166" fontId="20" fillId="20" borderId="16" xfId="4" applyNumberFormat="1" applyFont="1" applyFill="1" applyBorder="1"/>
    <xf numFmtId="9" fontId="20" fillId="20" borderId="16" xfId="4" applyNumberFormat="1" applyFont="1" applyFill="1" applyBorder="1"/>
    <xf numFmtId="9" fontId="20" fillId="20" borderId="90" xfId="4" applyNumberFormat="1" applyFont="1" applyFill="1" applyBorder="1"/>
    <xf numFmtId="9" fontId="20" fillId="20" borderId="4" xfId="4" applyNumberFormat="1" applyFont="1" applyFill="1" applyBorder="1"/>
    <xf numFmtId="166" fontId="20" fillId="20" borderId="22" xfId="4" applyNumberFormat="1" applyFont="1" applyFill="1" applyBorder="1"/>
    <xf numFmtId="9" fontId="20" fillId="20" borderId="95" xfId="4" applyNumberFormat="1" applyFont="1" applyFill="1" applyBorder="1"/>
    <xf numFmtId="0" fontId="24" fillId="11" borderId="15" xfId="7" applyFont="1" applyFill="1" applyBorder="1"/>
    <xf numFmtId="165" fontId="21" fillId="11" borderId="0" xfId="5" applyNumberFormat="1" applyFont="1" applyFill="1" applyBorder="1"/>
    <xf numFmtId="165" fontId="21" fillId="11" borderId="15" xfId="5" applyNumberFormat="1" applyFont="1" applyFill="1" applyBorder="1"/>
    <xf numFmtId="0" fontId="20" fillId="12" borderId="15" xfId="7" applyFont="1" applyFill="1" applyBorder="1"/>
    <xf numFmtId="0" fontId="48" fillId="14" borderId="13" xfId="5" applyNumberFormat="1" applyFont="1" applyFill="1" applyBorder="1" applyAlignment="1" applyProtection="1">
      <alignment horizontal="left"/>
    </xf>
    <xf numFmtId="0" fontId="48" fillId="14" borderId="13" xfId="5" applyNumberFormat="1" applyFont="1" applyFill="1" applyBorder="1" applyAlignment="1" applyProtection="1">
      <alignment horizontal="left" wrapText="1"/>
    </xf>
    <xf numFmtId="0" fontId="50" fillId="3" borderId="13" xfId="0" applyFont="1" applyFill="1" applyBorder="1"/>
    <xf numFmtId="0" fontId="24" fillId="20" borderId="14" xfId="7" applyFont="1" applyFill="1" applyBorder="1"/>
    <xf numFmtId="0" fontId="24" fillId="11" borderId="0" xfId="7" applyFont="1" applyFill="1"/>
    <xf numFmtId="0" fontId="24" fillId="11" borderId="0" xfId="7" applyFont="1" applyFill="1" applyAlignment="1">
      <alignment horizontal="center"/>
    </xf>
    <xf numFmtId="0" fontId="24" fillId="20" borderId="0" xfId="7" applyFont="1" applyFill="1" applyAlignment="1">
      <alignment horizontal="left"/>
    </xf>
    <xf numFmtId="0" fontId="20" fillId="0" borderId="14" xfId="7" applyFont="1" applyBorder="1"/>
    <xf numFmtId="0" fontId="20" fillId="0" borderId="0" xfId="7" applyFont="1"/>
    <xf numFmtId="0" fontId="49" fillId="19" borderId="0" xfId="7" applyFont="1" applyFill="1"/>
    <xf numFmtId="0" fontId="20" fillId="0" borderId="0" xfId="7" applyFont="1" applyAlignment="1">
      <alignment horizontal="center"/>
    </xf>
    <xf numFmtId="0" fontId="20" fillId="20" borderId="0" xfId="7" applyFont="1" applyFill="1" applyAlignment="1">
      <alignment horizontal="left"/>
    </xf>
    <xf numFmtId="0" fontId="20" fillId="12" borderId="14" xfId="7" applyFont="1" applyFill="1" applyBorder="1"/>
    <xf numFmtId="0" fontId="20" fillId="12" borderId="0" xfId="7" applyFont="1" applyFill="1"/>
    <xf numFmtId="0" fontId="49" fillId="28" borderId="0" xfId="7" applyFont="1" applyFill="1"/>
    <xf numFmtId="0" fontId="20" fillId="12" borderId="0" xfId="7" applyFont="1" applyFill="1" applyAlignment="1">
      <alignment horizontal="center"/>
    </xf>
    <xf numFmtId="0" fontId="20" fillId="12" borderId="89" xfId="7" applyFont="1" applyFill="1" applyBorder="1"/>
    <xf numFmtId="0" fontId="20" fillId="12" borderId="16" xfId="7" applyFont="1" applyFill="1" applyBorder="1"/>
    <xf numFmtId="0" fontId="49" fillId="28" borderId="16" xfId="7" applyFont="1" applyFill="1" applyBorder="1"/>
    <xf numFmtId="0" fontId="20" fillId="12" borderId="16" xfId="7" applyFont="1" applyFill="1" applyBorder="1" applyAlignment="1">
      <alignment horizontal="center"/>
    </xf>
    <xf numFmtId="0" fontId="20" fillId="20" borderId="16" xfId="7" applyFont="1" applyFill="1" applyBorder="1" applyAlignment="1">
      <alignment horizontal="left"/>
    </xf>
    <xf numFmtId="0" fontId="20" fillId="12" borderId="90" xfId="7" applyFont="1" applyFill="1" applyBorder="1"/>
    <xf numFmtId="165" fontId="14" fillId="12" borderId="16" xfId="5" applyNumberFormat="1" applyFont="1" applyFill="1" applyBorder="1"/>
    <xf numFmtId="165" fontId="14" fillId="12" borderId="90" xfId="5" applyNumberFormat="1" applyFont="1" applyFill="1" applyBorder="1"/>
    <xf numFmtId="165" fontId="20" fillId="20" borderId="16" xfId="5" applyNumberFormat="1" applyFont="1" applyFill="1" applyBorder="1" applyAlignment="1"/>
    <xf numFmtId="165" fontId="20" fillId="20" borderId="90" xfId="5" applyNumberFormat="1" applyFont="1" applyFill="1" applyBorder="1" applyAlignment="1"/>
    <xf numFmtId="0" fontId="37" fillId="0" borderId="0" xfId="0" applyFont="1" applyAlignment="1">
      <alignment vertical="top"/>
    </xf>
    <xf numFmtId="0" fontId="11" fillId="4" borderId="56" xfId="1" applyNumberFormat="1" applyFont="1" applyFill="1" applyBorder="1" applyAlignment="1" applyProtection="1">
      <alignment horizontal="center" vertical="center" wrapText="1"/>
      <protection locked="0"/>
    </xf>
    <xf numFmtId="0" fontId="8" fillId="7" borderId="56" xfId="0" applyFont="1" applyFill="1" applyBorder="1" applyAlignment="1">
      <alignment horizontal="center" vertical="top" wrapText="1"/>
    </xf>
    <xf numFmtId="0" fontId="8" fillId="7" borderId="52" xfId="0" applyFont="1" applyFill="1" applyBorder="1" applyAlignment="1">
      <alignment horizontal="center" vertical="top" wrapText="1"/>
    </xf>
    <xf numFmtId="0" fontId="8" fillId="7" borderId="57" xfId="0" applyFont="1" applyFill="1" applyBorder="1" applyAlignment="1">
      <alignment horizontal="center" vertical="top" wrapText="1"/>
    </xf>
    <xf numFmtId="0" fontId="13" fillId="0" borderId="4" xfId="0" applyFont="1" applyBorder="1" applyAlignment="1">
      <alignment horizontal="right" vertical="center" wrapText="1" indent="1"/>
    </xf>
    <xf numFmtId="0" fontId="13" fillId="0" borderId="0" xfId="0" applyFont="1" applyAlignment="1">
      <alignment horizontal="right" vertical="center" wrapText="1" indent="1"/>
    </xf>
    <xf numFmtId="0" fontId="6" fillId="3" borderId="5" xfId="0" applyFont="1" applyFill="1" applyBorder="1" applyAlignment="1">
      <alignment horizontal="center" vertical="top"/>
    </xf>
    <xf numFmtId="0" fontId="6" fillId="3" borderId="9" xfId="0" applyFont="1" applyFill="1" applyBorder="1" applyAlignment="1">
      <alignment horizontal="center" vertical="top"/>
    </xf>
    <xf numFmtId="0" fontId="6" fillId="3" borderId="6" xfId="0" applyFont="1" applyFill="1" applyBorder="1" applyAlignment="1">
      <alignment horizontal="center" vertical="top"/>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19"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top" wrapText="1" indent="1"/>
    </xf>
    <xf numFmtId="0" fontId="8" fillId="0" borderId="0" xfId="0" applyFont="1" applyAlignment="1">
      <alignment horizontal="left" vertical="top" wrapText="1" indent="1"/>
    </xf>
    <xf numFmtId="0" fontId="8" fillId="0" borderId="3" xfId="0" applyFont="1" applyBorder="1" applyAlignment="1">
      <alignment horizontal="left" vertical="top" wrapText="1" indent="1"/>
    </xf>
    <xf numFmtId="0" fontId="6" fillId="3" borderId="1" xfId="0" applyFont="1" applyFill="1" applyBorder="1" applyAlignment="1">
      <alignment horizontal="center" vertical="top"/>
    </xf>
    <xf numFmtId="0" fontId="6" fillId="3" borderId="11" xfId="0" applyFont="1" applyFill="1" applyBorder="1" applyAlignment="1">
      <alignment horizontal="center" vertical="top"/>
    </xf>
    <xf numFmtId="0" fontId="6" fillId="3" borderId="2" xfId="0" applyFont="1" applyFill="1" applyBorder="1" applyAlignment="1">
      <alignment horizontal="center" vertical="top"/>
    </xf>
    <xf numFmtId="0" fontId="6" fillId="3" borderId="4" xfId="0" applyFont="1" applyFill="1" applyBorder="1" applyAlignment="1">
      <alignment horizontal="center" vertical="top"/>
    </xf>
    <xf numFmtId="0" fontId="6" fillId="3" borderId="0" xfId="0" applyFont="1" applyFill="1" applyAlignment="1">
      <alignment horizontal="center" vertical="top"/>
    </xf>
    <xf numFmtId="0" fontId="6" fillId="3" borderId="3" xfId="0" applyFont="1" applyFill="1" applyBorder="1" applyAlignment="1">
      <alignment horizontal="center" vertical="top"/>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6" fillId="3" borderId="7" xfId="0" applyFont="1" applyFill="1" applyBorder="1" applyAlignment="1">
      <alignment horizontal="center" vertical="top"/>
    </xf>
    <xf numFmtId="0" fontId="6" fillId="3" borderId="10" xfId="0" applyFont="1" applyFill="1" applyBorder="1" applyAlignment="1">
      <alignment horizontal="center" vertical="top"/>
    </xf>
    <xf numFmtId="0" fontId="6" fillId="3" borderId="8" xfId="0" applyFont="1" applyFill="1" applyBorder="1" applyAlignment="1">
      <alignment horizontal="center" vertical="top"/>
    </xf>
    <xf numFmtId="14" fontId="11" fillId="4" borderId="52" xfId="1" applyNumberFormat="1" applyFont="1" applyFill="1" applyBorder="1" applyAlignment="1" applyProtection="1">
      <alignment horizontal="left" vertical="center" wrapText="1"/>
      <protection locked="0"/>
    </xf>
    <xf numFmtId="0" fontId="11" fillId="4" borderId="52" xfId="1" applyNumberFormat="1" applyFont="1" applyFill="1" applyBorder="1" applyAlignment="1" applyProtection="1">
      <alignment horizontal="left" vertical="center" wrapText="1"/>
      <protection locked="0"/>
    </xf>
    <xf numFmtId="0" fontId="11" fillId="4" borderId="57" xfId="1" applyNumberFormat="1" applyFont="1" applyFill="1" applyBorder="1" applyAlignment="1" applyProtection="1">
      <alignment horizontal="left" vertical="center" wrapText="1"/>
      <protection locked="0"/>
    </xf>
    <xf numFmtId="0" fontId="8" fillId="0" borderId="56" xfId="0" applyFont="1" applyBorder="1" applyAlignment="1">
      <alignment horizontal="left" vertical="center" wrapText="1"/>
    </xf>
    <xf numFmtId="0" fontId="8" fillId="0" borderId="52" xfId="0" applyFont="1" applyBorder="1" applyAlignment="1">
      <alignment horizontal="left" vertical="center" wrapText="1"/>
    </xf>
    <xf numFmtId="0" fontId="8" fillId="0" borderId="58" xfId="0" applyFont="1" applyBorder="1" applyAlignment="1">
      <alignment horizontal="left" vertical="center" wrapText="1"/>
    </xf>
    <xf numFmtId="0" fontId="8" fillId="0" borderId="53" xfId="0" applyFont="1" applyBorder="1" applyAlignment="1">
      <alignment horizontal="left" vertical="center" wrapText="1"/>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63" xfId="0" applyFont="1" applyBorder="1" applyAlignment="1">
      <alignment horizontal="left" vertical="center" wrapText="1"/>
    </xf>
    <xf numFmtId="0" fontId="8" fillId="0" borderId="54" xfId="0" applyFont="1" applyBorder="1" applyAlignment="1">
      <alignment horizontal="left" vertical="center" wrapText="1"/>
    </xf>
    <xf numFmtId="0" fontId="11" fillId="4" borderId="53" xfId="1" applyNumberFormat="1" applyFont="1" applyFill="1" applyBorder="1" applyAlignment="1" applyProtection="1">
      <alignment horizontal="left" vertical="center" wrapText="1"/>
      <protection locked="0"/>
    </xf>
    <xf numFmtId="0" fontId="11" fillId="4" borderId="59" xfId="1" applyNumberFormat="1" applyFont="1" applyFill="1" applyBorder="1" applyAlignment="1" applyProtection="1">
      <alignment horizontal="left" vertical="center" wrapText="1"/>
      <protection locked="0"/>
    </xf>
    <xf numFmtId="0" fontId="11" fillId="4" borderId="61" xfId="1" applyNumberFormat="1" applyFont="1" applyFill="1" applyBorder="1" applyAlignment="1" applyProtection="1">
      <alignment horizontal="left" vertical="center" wrapText="1"/>
      <protection locked="0"/>
    </xf>
    <xf numFmtId="0" fontId="11" fillId="4" borderId="62" xfId="1" applyNumberFormat="1" applyFont="1" applyFill="1" applyBorder="1" applyAlignment="1" applyProtection="1">
      <alignment horizontal="left" vertical="center" wrapText="1"/>
      <protection locked="0"/>
    </xf>
    <xf numFmtId="0" fontId="11" fillId="4" borderId="54" xfId="1" applyNumberFormat="1" applyFont="1" applyFill="1" applyBorder="1" applyAlignment="1" applyProtection="1">
      <alignment horizontal="left" vertical="center" wrapText="1"/>
      <protection locked="0"/>
    </xf>
    <xf numFmtId="0" fontId="11" fillId="4" borderId="64" xfId="1" applyNumberFormat="1" applyFont="1" applyFill="1" applyBorder="1" applyAlignment="1" applyProtection="1">
      <alignment horizontal="left" vertical="center" wrapText="1"/>
      <protection locked="0"/>
    </xf>
    <xf numFmtId="0" fontId="37" fillId="2" borderId="0" xfId="0" applyFont="1" applyFill="1" applyAlignment="1">
      <alignment horizontal="left" vertical="top" wrapText="1"/>
    </xf>
    <xf numFmtId="0" fontId="11" fillId="4" borderId="4"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3" xfId="1" applyNumberFormat="1" applyFont="1" applyFill="1" applyBorder="1" applyAlignment="1" applyProtection="1">
      <alignment horizontal="left" vertical="top" wrapText="1"/>
      <protection locked="0"/>
    </xf>
    <xf numFmtId="0" fontId="11" fillId="4" borderId="52" xfId="1" applyNumberFormat="1" applyFont="1" applyFill="1" applyBorder="1" applyAlignment="1" applyProtection="1">
      <alignment horizontal="center" vertical="center" wrapText="1"/>
      <protection locked="0"/>
    </xf>
    <xf numFmtId="0" fontId="11" fillId="7" borderId="52" xfId="1" applyNumberFormat="1" applyFont="1" applyFill="1" applyBorder="1" applyAlignment="1" applyProtection="1">
      <alignment horizontal="left" vertical="center" wrapText="1" indent="2"/>
    </xf>
    <xf numFmtId="0" fontId="11" fillId="7" borderId="57" xfId="1" applyNumberFormat="1" applyFont="1" applyFill="1" applyBorder="1" applyAlignment="1" applyProtection="1">
      <alignment horizontal="left" vertical="center" wrapText="1" indent="2"/>
    </xf>
    <xf numFmtId="0" fontId="31" fillId="7" borderId="39" xfId="0" applyFont="1" applyFill="1" applyBorder="1" applyAlignment="1">
      <alignment horizontal="center" vertical="center"/>
    </xf>
    <xf numFmtId="0" fontId="31" fillId="7" borderId="40" xfId="0" applyFont="1" applyFill="1" applyBorder="1" applyAlignment="1">
      <alignment horizontal="center" vertical="center"/>
    </xf>
    <xf numFmtId="0" fontId="31" fillId="7" borderId="38" xfId="0" applyFont="1" applyFill="1" applyBorder="1" applyAlignment="1">
      <alignment horizontal="center" vertical="center"/>
    </xf>
    <xf numFmtId="0" fontId="31" fillId="7" borderId="46" xfId="0" applyFont="1" applyFill="1" applyBorder="1" applyAlignment="1">
      <alignment horizontal="center" vertical="center"/>
    </xf>
    <xf numFmtId="0" fontId="31" fillId="7" borderId="47" xfId="0" applyFont="1" applyFill="1" applyBorder="1" applyAlignment="1">
      <alignment horizontal="center" vertical="center"/>
    </xf>
    <xf numFmtId="0" fontId="31" fillId="7" borderId="45" xfId="0" applyFont="1" applyFill="1" applyBorder="1" applyAlignment="1">
      <alignment horizontal="center" vertical="center"/>
    </xf>
    <xf numFmtId="0" fontId="42" fillId="0" borderId="0" xfId="10" applyBorder="1" applyAlignment="1" applyProtection="1">
      <alignment horizontal="left" vertical="top"/>
      <protection locked="0"/>
    </xf>
    <xf numFmtId="0" fontId="42" fillId="0" borderId="0" xfId="10" applyBorder="1" applyAlignment="1" applyProtection="1">
      <alignment vertical="top"/>
      <protection locked="0"/>
    </xf>
    <xf numFmtId="0" fontId="59" fillId="0" borderId="4" xfId="0" applyFont="1" applyBorder="1" applyAlignment="1">
      <alignment horizontal="right" vertical="center" wrapText="1" indent="1"/>
    </xf>
    <xf numFmtId="0" fontId="59" fillId="0" borderId="0" xfId="0" applyFont="1" applyAlignment="1">
      <alignment horizontal="right" vertical="center" wrapText="1" indent="1"/>
    </xf>
    <xf numFmtId="0" fontId="58" fillId="0" borderId="0" xfId="0" applyFont="1" applyAlignment="1">
      <alignment horizontal="left" vertical="center" wrapText="1" indent="1"/>
    </xf>
    <xf numFmtId="0" fontId="58" fillId="0" borderId="3" xfId="0" applyFont="1" applyBorder="1" applyAlignment="1">
      <alignment horizontal="left" vertical="center" wrapText="1" indent="1"/>
    </xf>
    <xf numFmtId="0" fontId="0" fillId="4" borderId="53" xfId="0" applyFill="1" applyBorder="1" applyAlignment="1" applyProtection="1">
      <alignment horizontal="center" vertical="center" wrapText="1"/>
      <protection locked="0"/>
    </xf>
    <xf numFmtId="0" fontId="0" fillId="4" borderId="54" xfId="0" applyFill="1" applyBorder="1" applyAlignment="1" applyProtection="1">
      <alignment horizontal="center" vertical="center" wrapText="1"/>
      <protection locked="0"/>
    </xf>
    <xf numFmtId="0" fontId="8" fillId="7" borderId="39" xfId="0" applyFont="1" applyFill="1" applyBorder="1" applyAlignment="1">
      <alignment horizontal="left" vertical="center" wrapText="1"/>
    </xf>
    <xf numFmtId="0" fontId="8" fillId="7" borderId="40" xfId="0" applyFont="1" applyFill="1" applyBorder="1" applyAlignment="1">
      <alignment horizontal="left" vertical="center" wrapText="1"/>
    </xf>
    <xf numFmtId="0" fontId="8" fillId="7" borderId="38" xfId="0" applyFont="1" applyFill="1" applyBorder="1" applyAlignment="1">
      <alignment horizontal="left" vertical="center" wrapText="1"/>
    </xf>
    <xf numFmtId="0" fontId="8" fillId="7" borderId="43"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42" xfId="0" applyFont="1" applyFill="1" applyBorder="1" applyAlignment="1">
      <alignment horizontal="left" vertical="center" wrapText="1"/>
    </xf>
    <xf numFmtId="0" fontId="8" fillId="7" borderId="46"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5" xfId="0" applyFont="1" applyFill="1" applyBorder="1" applyAlignment="1">
      <alignment horizontal="left" vertical="center" wrapText="1"/>
    </xf>
    <xf numFmtId="0" fontId="9" fillId="7" borderId="52" xfId="0" applyFont="1" applyFill="1" applyBorder="1" applyAlignment="1">
      <alignment horizontal="center" vertical="top" wrapText="1"/>
    </xf>
    <xf numFmtId="0" fontId="10" fillId="7" borderId="52" xfId="1" applyNumberFormat="1" applyFont="1" applyFill="1" applyBorder="1" applyAlignment="1" applyProtection="1">
      <alignment horizontal="center" vertical="top" wrapText="1"/>
    </xf>
    <xf numFmtId="0" fontId="10" fillId="7" borderId="57" xfId="1" applyNumberFormat="1" applyFont="1" applyFill="1" applyBorder="1" applyAlignment="1" applyProtection="1">
      <alignment horizontal="center" vertical="top" wrapText="1"/>
    </xf>
    <xf numFmtId="0" fontId="35" fillId="15" borderId="0" xfId="0" applyFont="1" applyFill="1" applyAlignment="1">
      <alignment horizontal="center" vertical="top"/>
    </xf>
    <xf numFmtId="0" fontId="35" fillId="15" borderId="0" xfId="0" applyFont="1" applyFill="1" applyAlignment="1">
      <alignment horizontal="center" vertical="top" wrapText="1"/>
    </xf>
    <xf numFmtId="0" fontId="13" fillId="0" borderId="58" xfId="0" applyFont="1" applyBorder="1" applyAlignment="1">
      <alignment horizontal="left" vertical="center" wrapText="1"/>
    </xf>
    <xf numFmtId="0" fontId="13" fillId="0" borderId="53"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72" xfId="0" applyFont="1" applyBorder="1" applyAlignment="1">
      <alignment horizontal="left" vertical="center" wrapText="1"/>
    </xf>
    <xf numFmtId="0" fontId="13" fillId="0" borderId="65" xfId="0" applyFont="1" applyBorder="1" applyAlignment="1">
      <alignment horizontal="left" vertical="center" wrapText="1"/>
    </xf>
    <xf numFmtId="0" fontId="8" fillId="0" borderId="59" xfId="0" applyFont="1" applyBorder="1" applyAlignment="1">
      <alignment horizontal="left" vertical="center" wrapText="1"/>
    </xf>
    <xf numFmtId="0" fontId="8" fillId="0" borderId="62" xfId="0" applyFont="1" applyBorder="1" applyAlignment="1">
      <alignment horizontal="left" vertical="center" wrapText="1"/>
    </xf>
    <xf numFmtId="0" fontId="8" fillId="0" borderId="65" xfId="0" applyFont="1" applyBorder="1" applyAlignment="1">
      <alignment horizontal="left" vertical="center" wrapText="1"/>
    </xf>
    <xf numFmtId="0" fontId="8" fillId="0" borderId="73" xfId="0"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1" xfId="0" applyFont="1" applyBorder="1" applyAlignment="1">
      <alignment horizontal="left" vertical="center" wrapText="1"/>
    </xf>
    <xf numFmtId="0" fontId="8" fillId="0" borderId="43" xfId="0" applyFont="1" applyBorder="1" applyAlignment="1">
      <alignment horizontal="left" vertical="center" wrapText="1"/>
    </xf>
    <xf numFmtId="0" fontId="8" fillId="0" borderId="46" xfId="0" applyFont="1" applyBorder="1" applyAlignment="1">
      <alignment horizontal="left" vertical="center" wrapText="1"/>
    </xf>
    <xf numFmtId="0" fontId="8" fillId="0" borderId="47" xfId="0" applyFont="1" applyBorder="1" applyAlignment="1">
      <alignment horizontal="left" vertical="center" wrapText="1"/>
    </xf>
    <xf numFmtId="0" fontId="8" fillId="0" borderId="48" xfId="0" applyFont="1" applyBorder="1" applyAlignment="1">
      <alignment horizontal="left" vertical="center" wrapText="1"/>
    </xf>
    <xf numFmtId="0" fontId="13" fillId="0" borderId="37" xfId="0" applyFont="1" applyBorder="1" applyAlignment="1">
      <alignment horizontal="left" vertical="center" wrapText="1"/>
    </xf>
    <xf numFmtId="0" fontId="13" fillId="0" borderId="38" xfId="0" applyFont="1" applyBorder="1" applyAlignment="1">
      <alignment horizontal="left" vertical="center" wrapText="1"/>
    </xf>
    <xf numFmtId="0" fontId="13" fillId="0" borderId="4" xfId="0" applyFont="1" applyBorder="1" applyAlignment="1">
      <alignment horizontal="left" vertical="center" wrapText="1"/>
    </xf>
    <xf numFmtId="0" fontId="13" fillId="0" borderId="42" xfId="0" applyFont="1" applyBorder="1" applyAlignment="1">
      <alignment horizontal="left" vertical="center" wrapText="1"/>
    </xf>
    <xf numFmtId="0" fontId="13" fillId="0" borderId="44" xfId="0" applyFont="1" applyBorder="1" applyAlignment="1">
      <alignment horizontal="left" vertical="center" wrapText="1"/>
    </xf>
    <xf numFmtId="0" fontId="13" fillId="0" borderId="45" xfId="0" applyFont="1" applyBorder="1" applyAlignment="1">
      <alignment horizontal="left" vertical="center" wrapText="1"/>
    </xf>
    <xf numFmtId="0" fontId="36" fillId="16" borderId="1" xfId="0" applyFont="1" applyFill="1" applyBorder="1" applyAlignment="1">
      <alignment horizontal="center" vertical="top" wrapText="1"/>
    </xf>
    <xf numFmtId="0" fontId="36" fillId="16" borderId="11" xfId="0" applyFont="1" applyFill="1" applyBorder="1" applyAlignment="1">
      <alignment horizontal="center" vertical="top" wrapText="1"/>
    </xf>
    <xf numFmtId="0" fontId="7" fillId="0" borderId="11" xfId="0" applyFont="1" applyBorder="1" applyAlignment="1">
      <alignment vertical="top" wrapText="1"/>
    </xf>
    <xf numFmtId="0" fontId="7" fillId="0" borderId="2" xfId="0" applyFont="1" applyBorder="1" applyAlignment="1">
      <alignment vertical="top" wrapText="1"/>
    </xf>
    <xf numFmtId="0" fontId="7" fillId="4" borderId="4"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3" xfId="0" applyFont="1" applyFill="1" applyBorder="1" applyAlignment="1" applyProtection="1">
      <alignment horizontal="left" vertical="top" wrapText="1"/>
      <protection locked="0"/>
    </xf>
    <xf numFmtId="0" fontId="8" fillId="0" borderId="4" xfId="0" applyFont="1" applyBorder="1" applyAlignment="1">
      <alignment vertical="top" wrapText="1"/>
    </xf>
    <xf numFmtId="0" fontId="8" fillId="0" borderId="0" xfId="0" applyFont="1" applyAlignment="1">
      <alignment vertical="top" wrapText="1"/>
    </xf>
    <xf numFmtId="0" fontId="8" fillId="0" borderId="3" xfId="0" applyFont="1" applyBorder="1" applyAlignment="1">
      <alignment vertical="top" wrapText="1"/>
    </xf>
    <xf numFmtId="0" fontId="13" fillId="6" borderId="1" xfId="0" applyFont="1" applyFill="1" applyBorder="1" applyAlignment="1">
      <alignment horizontal="center" vertical="top" wrapText="1"/>
    </xf>
    <xf numFmtId="0" fontId="13" fillId="6" borderId="11" xfId="0" applyFont="1" applyFill="1" applyBorder="1" applyAlignment="1">
      <alignment horizontal="center" vertical="top" wrapText="1"/>
    </xf>
    <xf numFmtId="0" fontId="13" fillId="6" borderId="2"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8" xfId="0" applyFont="1" applyFill="1" applyBorder="1" applyAlignment="1">
      <alignment horizontal="center" vertical="top" wrapText="1"/>
    </xf>
    <xf numFmtId="0" fontId="11" fillId="4" borderId="49" xfId="1" applyNumberFormat="1" applyFont="1" applyFill="1" applyBorder="1" applyAlignment="1" applyProtection="1">
      <alignment horizontal="left" vertical="top" wrapText="1"/>
      <protection locked="0"/>
    </xf>
    <xf numFmtId="0" fontId="11" fillId="4" borderId="50" xfId="1" applyNumberFormat="1" applyFont="1" applyFill="1" applyBorder="1" applyAlignment="1" applyProtection="1">
      <alignment horizontal="left" vertical="top" wrapText="1"/>
      <protection locked="0"/>
    </xf>
    <xf numFmtId="0" fontId="11" fillId="4" borderId="70" xfId="1" applyNumberFormat="1" applyFont="1" applyFill="1" applyBorder="1" applyAlignment="1" applyProtection="1">
      <alignment horizontal="left" vertical="top" wrapText="1"/>
      <protection locked="0"/>
    </xf>
    <xf numFmtId="0" fontId="9" fillId="2" borderId="56" xfId="0" applyFont="1" applyFill="1" applyBorder="1" applyAlignment="1">
      <alignment horizontal="center" vertical="center"/>
    </xf>
    <xf numFmtId="0" fontId="13" fillId="7" borderId="52" xfId="0" applyFont="1" applyFill="1" applyBorder="1" applyAlignment="1">
      <alignment horizontal="center" vertical="center" wrapText="1"/>
    </xf>
    <xf numFmtId="0" fontId="13" fillId="7" borderId="57" xfId="0" applyFont="1" applyFill="1" applyBorder="1" applyAlignment="1">
      <alignment horizontal="center" vertical="center" wrapText="1"/>
    </xf>
    <xf numFmtId="0" fontId="6" fillId="3" borderId="4" xfId="0" applyFont="1" applyFill="1" applyBorder="1" applyAlignment="1">
      <alignment horizontal="left" vertical="top" wrapText="1"/>
    </xf>
    <xf numFmtId="0" fontId="6" fillId="3" borderId="0" xfId="0" applyFont="1" applyFill="1" applyAlignment="1">
      <alignment horizontal="left" vertical="top" wrapText="1"/>
    </xf>
    <xf numFmtId="0" fontId="6" fillId="3" borderId="3"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8" xfId="0" applyFont="1" applyFill="1" applyBorder="1" applyAlignment="1">
      <alignment horizontal="left" vertical="top" wrapText="1"/>
    </xf>
    <xf numFmtId="0" fontId="13" fillId="6" borderId="4" xfId="0" applyFont="1" applyFill="1" applyBorder="1" applyAlignment="1">
      <alignment horizontal="center" vertical="top" wrapText="1"/>
    </xf>
    <xf numFmtId="0" fontId="13" fillId="6" borderId="0" xfId="0" applyFont="1" applyFill="1" applyAlignment="1">
      <alignment horizontal="center" vertical="top" wrapText="1"/>
    </xf>
    <xf numFmtId="0" fontId="13" fillId="6" borderId="3" xfId="0" applyFont="1" applyFill="1" applyBorder="1" applyAlignment="1">
      <alignment horizontal="center" vertical="top" wrapText="1"/>
    </xf>
    <xf numFmtId="0" fontId="11" fillId="4" borderId="51" xfId="1" applyNumberFormat="1" applyFont="1" applyFill="1" applyBorder="1" applyAlignment="1" applyProtection="1">
      <alignment horizontal="left" vertical="center" wrapText="1"/>
      <protection locked="0"/>
    </xf>
    <xf numFmtId="0" fontId="8" fillId="0" borderId="4" xfId="0" applyFont="1" applyBorder="1" applyAlignment="1">
      <alignment horizontal="right" vertical="top" wrapText="1" indent="1"/>
    </xf>
    <xf numFmtId="0" fontId="8" fillId="0" borderId="0" xfId="0" applyFont="1" applyAlignment="1">
      <alignment horizontal="right" vertical="top" wrapText="1" indent="1"/>
    </xf>
    <xf numFmtId="0" fontId="8" fillId="7" borderId="52" xfId="0" applyFont="1" applyFill="1" applyBorder="1" applyAlignment="1">
      <alignment horizontal="left" vertical="top" wrapText="1"/>
    </xf>
    <xf numFmtId="0" fontId="8" fillId="7" borderId="57" xfId="0" applyFont="1" applyFill="1" applyBorder="1" applyAlignment="1">
      <alignment horizontal="left" vertical="top" wrapText="1"/>
    </xf>
    <xf numFmtId="0" fontId="7" fillId="0" borderId="4" xfId="0" applyFont="1" applyBorder="1" applyAlignment="1">
      <alignment horizontal="right" vertical="center" indent="1"/>
    </xf>
    <xf numFmtId="0" fontId="7" fillId="0" borderId="3" xfId="0" applyFont="1" applyBorder="1" applyAlignment="1">
      <alignment horizontal="right" vertical="center" indent="1"/>
    </xf>
    <xf numFmtId="0" fontId="8" fillId="0" borderId="71" xfId="0" applyFont="1" applyBorder="1" applyAlignment="1">
      <alignment horizontal="left" vertical="top" wrapText="1"/>
    </xf>
    <xf numFmtId="0" fontId="8" fillId="0" borderId="50" xfId="0" applyFont="1" applyBorder="1" applyAlignment="1">
      <alignment horizontal="left" vertical="top" wrapText="1"/>
    </xf>
    <xf numFmtId="0" fontId="8" fillId="0" borderId="51" xfId="0" applyFont="1" applyBorder="1" applyAlignment="1">
      <alignment horizontal="left" vertical="top" wrapText="1"/>
    </xf>
    <xf numFmtId="0" fontId="11" fillId="4" borderId="39" xfId="1" applyNumberFormat="1" applyFont="1" applyFill="1" applyBorder="1" applyAlignment="1" applyProtection="1">
      <alignment horizontal="left" vertical="top" wrapText="1"/>
      <protection locked="0"/>
    </xf>
    <xf numFmtId="0" fontId="11" fillId="4" borderId="40"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46" xfId="1" applyNumberFormat="1" applyFont="1" applyFill="1" applyBorder="1" applyAlignment="1" applyProtection="1">
      <alignment horizontal="left" vertical="top" wrapText="1"/>
      <protection locked="0"/>
    </xf>
    <xf numFmtId="0" fontId="11" fillId="4" borderId="47" xfId="1" applyNumberFormat="1" applyFont="1" applyFill="1" applyBorder="1" applyAlignment="1" applyProtection="1">
      <alignment horizontal="left" vertical="top" wrapText="1"/>
      <protection locked="0"/>
    </xf>
    <xf numFmtId="0" fontId="11" fillId="4" borderId="48" xfId="1" applyNumberFormat="1" applyFont="1" applyFill="1" applyBorder="1" applyAlignment="1" applyProtection="1">
      <alignment horizontal="left" vertical="top" wrapText="1"/>
      <protection locked="0"/>
    </xf>
    <xf numFmtId="0" fontId="11" fillId="4" borderId="82"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9" fillId="7" borderId="49" xfId="0" applyFont="1" applyFill="1" applyBorder="1" applyAlignment="1">
      <alignment horizontal="center" vertical="center" wrapText="1"/>
    </xf>
    <xf numFmtId="0" fontId="9" fillId="7" borderId="50" xfId="0" applyFont="1" applyFill="1" applyBorder="1" applyAlignment="1">
      <alignment horizontal="center" vertical="center" wrapText="1"/>
    </xf>
    <xf numFmtId="0" fontId="9" fillId="7" borderId="70" xfId="0" applyFont="1" applyFill="1" applyBorder="1" applyAlignment="1">
      <alignment horizontal="center" vertical="center" wrapText="1"/>
    </xf>
    <xf numFmtId="0" fontId="8" fillId="0" borderId="58" xfId="0" applyFont="1" applyBorder="1" applyAlignment="1">
      <alignment horizontal="left" vertical="top" wrapText="1"/>
    </xf>
    <xf numFmtId="0" fontId="8" fillId="0" borderId="60" xfId="0" applyFont="1" applyBorder="1" applyAlignment="1">
      <alignment horizontal="left" vertical="top" wrapText="1"/>
    </xf>
    <xf numFmtId="0" fontId="8" fillId="0" borderId="63" xfId="0" applyFont="1" applyBorder="1" applyAlignment="1">
      <alignment horizontal="left" vertical="top" wrapText="1"/>
    </xf>
    <xf numFmtId="0" fontId="11" fillId="4" borderId="53" xfId="1" applyNumberFormat="1" applyFont="1" applyFill="1" applyBorder="1" applyAlignment="1" applyProtection="1">
      <alignment horizontal="center" vertical="top" wrapText="1"/>
      <protection locked="0"/>
    </xf>
    <xf numFmtId="0" fontId="11" fillId="4" borderId="61" xfId="1" applyNumberFormat="1" applyFont="1" applyFill="1" applyBorder="1" applyAlignment="1" applyProtection="1">
      <alignment horizontal="center" vertical="top" wrapText="1"/>
      <protection locked="0"/>
    </xf>
    <xf numFmtId="0" fontId="11" fillId="4" borderId="54" xfId="1" applyNumberFormat="1" applyFont="1" applyFill="1" applyBorder="1" applyAlignment="1" applyProtection="1">
      <alignment horizontal="center" vertical="top" wrapText="1"/>
      <protection locked="0"/>
    </xf>
    <xf numFmtId="0" fontId="7" fillId="4" borderId="4" xfId="0" applyFont="1" applyFill="1" applyBorder="1" applyAlignment="1" applyProtection="1">
      <alignment vertical="top" wrapText="1"/>
      <protection locked="0"/>
    </xf>
    <xf numFmtId="0" fontId="7" fillId="4" borderId="0" xfId="0" applyFont="1" applyFill="1" applyAlignment="1" applyProtection="1">
      <alignment vertical="top" wrapText="1"/>
      <protection locked="0"/>
    </xf>
    <xf numFmtId="0" fontId="7" fillId="4" borderId="3" xfId="0" applyFont="1" applyFill="1" applyBorder="1" applyAlignment="1" applyProtection="1">
      <alignment vertical="top" wrapText="1"/>
      <protection locked="0"/>
    </xf>
    <xf numFmtId="0" fontId="13" fillId="0" borderId="71" xfId="0" applyFont="1" applyBorder="1" applyAlignment="1">
      <alignment horizontal="left" vertical="center" wrapText="1" indent="1"/>
    </xf>
    <xf numFmtId="0" fontId="13" fillId="0" borderId="50" xfId="0" applyFont="1" applyBorder="1" applyAlignment="1">
      <alignment horizontal="left" vertical="center" wrapText="1" indent="1"/>
    </xf>
    <xf numFmtId="0" fontId="13" fillId="0" borderId="51" xfId="0" applyFont="1" applyBorder="1" applyAlignment="1">
      <alignment horizontal="left" vertical="center" wrapText="1" indent="1"/>
    </xf>
    <xf numFmtId="0" fontId="8" fillId="0" borderId="71" xfId="0" applyFont="1" applyBorder="1" applyAlignment="1">
      <alignment horizontal="left" vertical="center" wrapText="1" indent="1"/>
    </xf>
    <xf numFmtId="0" fontId="8" fillId="0" borderId="50" xfId="0" applyFont="1" applyBorder="1" applyAlignment="1">
      <alignment horizontal="left" vertical="center" wrapText="1" indent="1"/>
    </xf>
    <xf numFmtId="0" fontId="8" fillId="0" borderId="51" xfId="0" applyFont="1" applyBorder="1" applyAlignment="1">
      <alignment horizontal="left" vertical="center" wrapText="1" indent="1"/>
    </xf>
    <xf numFmtId="0" fontId="9" fillId="7" borderId="52" xfId="0" applyFont="1" applyFill="1" applyBorder="1" applyAlignment="1">
      <alignment horizontal="center" vertical="center" wrapText="1"/>
    </xf>
    <xf numFmtId="0" fontId="8" fillId="0" borderId="37" xfId="0" applyFont="1" applyBorder="1" applyAlignment="1">
      <alignment horizontal="left" vertical="center" wrapText="1" indent="1"/>
    </xf>
    <xf numFmtId="0" fontId="8" fillId="0" borderId="40" xfId="0" applyFont="1" applyBorder="1" applyAlignment="1">
      <alignment horizontal="left" vertical="center" wrapText="1" indent="1"/>
    </xf>
    <xf numFmtId="0" fontId="8" fillId="0" borderId="38" xfId="0" applyFont="1" applyBorder="1" applyAlignment="1">
      <alignment horizontal="left" vertical="center" wrapText="1" indent="1"/>
    </xf>
    <xf numFmtId="0" fontId="8" fillId="0" borderId="44" xfId="0" applyFont="1" applyBorder="1" applyAlignment="1">
      <alignment horizontal="left" vertical="center" wrapText="1" indent="1"/>
    </xf>
    <xf numFmtId="0" fontId="8" fillId="0" borderId="47" xfId="0" applyFont="1" applyBorder="1" applyAlignment="1">
      <alignment horizontal="left" vertical="center" wrapText="1" indent="1"/>
    </xf>
    <xf numFmtId="0" fontId="8" fillId="0" borderId="45" xfId="0" applyFont="1" applyBorder="1" applyAlignment="1">
      <alignment horizontal="left" vertical="center" wrapText="1" indent="1"/>
    </xf>
    <xf numFmtId="165" fontId="11" fillId="4" borderId="53" xfId="6" applyNumberFormat="1" applyFont="1" applyFill="1" applyBorder="1" applyAlignment="1" applyProtection="1">
      <alignment vertical="center"/>
      <protection locked="0"/>
    </xf>
    <xf numFmtId="165" fontId="11" fillId="4" borderId="54" xfId="6" applyNumberFormat="1" applyFont="1" applyFill="1" applyBorder="1" applyAlignment="1" applyProtection="1">
      <alignment vertical="center"/>
      <protection locked="0"/>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8" fillId="0" borderId="3" xfId="0" applyFont="1" applyBorder="1" applyAlignment="1">
      <alignment vertical="center" wrapText="1"/>
    </xf>
    <xf numFmtId="0" fontId="13" fillId="7" borderId="71" xfId="0" applyFont="1" applyFill="1" applyBorder="1" applyAlignment="1">
      <alignment horizontal="center" vertical="center" wrapText="1"/>
    </xf>
    <xf numFmtId="0" fontId="13" fillId="7" borderId="50" xfId="0" applyFont="1" applyFill="1" applyBorder="1" applyAlignment="1">
      <alignment horizontal="center" vertical="center" wrapText="1"/>
    </xf>
    <xf numFmtId="0" fontId="13" fillId="7" borderId="51" xfId="0" applyFont="1" applyFill="1" applyBorder="1" applyAlignment="1">
      <alignment horizontal="center" vertical="center" wrapText="1"/>
    </xf>
    <xf numFmtId="0" fontId="13" fillId="7" borderId="71" xfId="0" applyFont="1" applyFill="1" applyBorder="1" applyAlignment="1">
      <alignment horizontal="center" vertical="top" wrapText="1"/>
    </xf>
    <xf numFmtId="0" fontId="13" fillId="7" borderId="50" xfId="0" applyFont="1" applyFill="1" applyBorder="1" applyAlignment="1">
      <alignment horizontal="center" vertical="top" wrapText="1"/>
    </xf>
    <xf numFmtId="0" fontId="13" fillId="7" borderId="51" xfId="0" applyFont="1" applyFill="1" applyBorder="1" applyAlignment="1">
      <alignment horizontal="center" vertical="top" wrapText="1"/>
    </xf>
    <xf numFmtId="0" fontId="8" fillId="0" borderId="71" xfId="0" applyFont="1" applyBorder="1" applyAlignment="1">
      <alignment horizontal="right" vertical="top" wrapText="1" indent="1"/>
    </xf>
    <xf numFmtId="0" fontId="8" fillId="0" borderId="50" xfId="0" applyFont="1" applyBorder="1" applyAlignment="1">
      <alignment horizontal="right" vertical="top" wrapText="1" indent="1"/>
    </xf>
    <xf numFmtId="0" fontId="8" fillId="0" borderId="51" xfId="0" applyFont="1" applyBorder="1" applyAlignment="1">
      <alignment horizontal="right" vertical="top" wrapText="1" indent="1"/>
    </xf>
    <xf numFmtId="0" fontId="7" fillId="2" borderId="37" xfId="0" applyFont="1" applyFill="1" applyBorder="1" applyAlignment="1">
      <alignment horizontal="right" vertical="top" wrapText="1" indent="1"/>
    </xf>
    <xf numFmtId="0" fontId="7" fillId="2" borderId="40" xfId="0" applyFont="1" applyFill="1" applyBorder="1" applyAlignment="1">
      <alignment horizontal="right" vertical="top" wrapText="1" indent="1"/>
    </xf>
    <xf numFmtId="0" fontId="7" fillId="2" borderId="38" xfId="0" applyFont="1" applyFill="1" applyBorder="1" applyAlignment="1">
      <alignment horizontal="right" vertical="top" wrapText="1" indent="1"/>
    </xf>
    <xf numFmtId="0" fontId="7" fillId="2" borderId="44" xfId="0" applyFont="1" applyFill="1" applyBorder="1" applyAlignment="1">
      <alignment horizontal="right" vertical="top" wrapText="1" indent="1"/>
    </xf>
    <xf numFmtId="0" fontId="7" fillId="2" borderId="47" xfId="0" applyFont="1" applyFill="1" applyBorder="1" applyAlignment="1">
      <alignment horizontal="right" vertical="top" wrapText="1" indent="1"/>
    </xf>
    <xf numFmtId="0" fontId="7" fillId="2" borderId="45" xfId="0" applyFont="1" applyFill="1" applyBorder="1" applyAlignment="1">
      <alignment horizontal="right" vertical="top" wrapText="1" indent="1"/>
    </xf>
    <xf numFmtId="0" fontId="7" fillId="2" borderId="37" xfId="0" applyFont="1" applyFill="1" applyBorder="1" applyAlignment="1">
      <alignment horizontal="right" vertical="center" wrapText="1" indent="1"/>
    </xf>
    <xf numFmtId="0" fontId="7" fillId="2" borderId="40" xfId="0" applyFont="1" applyFill="1" applyBorder="1" applyAlignment="1">
      <alignment horizontal="right" vertical="center" wrapText="1" indent="1"/>
    </xf>
    <xf numFmtId="0" fontId="7" fillId="2" borderId="38" xfId="0" applyFont="1" applyFill="1" applyBorder="1" applyAlignment="1">
      <alignment horizontal="right" vertical="center" wrapText="1" indent="1"/>
    </xf>
    <xf numFmtId="0" fontId="7" fillId="2" borderId="4" xfId="0" applyFont="1" applyFill="1" applyBorder="1" applyAlignment="1">
      <alignment horizontal="right" vertical="center" wrapText="1" indent="1"/>
    </xf>
    <xf numFmtId="0" fontId="7" fillId="2" borderId="0" xfId="0" applyFont="1" applyFill="1" applyAlignment="1">
      <alignment horizontal="right" vertical="center" wrapText="1" indent="1"/>
    </xf>
    <xf numFmtId="0" fontId="7" fillId="2" borderId="42" xfId="0" applyFont="1" applyFill="1" applyBorder="1" applyAlignment="1">
      <alignment horizontal="right" vertical="center" wrapText="1" indent="1"/>
    </xf>
    <xf numFmtId="0" fontId="7" fillId="2" borderId="44" xfId="0" applyFont="1" applyFill="1" applyBorder="1" applyAlignment="1">
      <alignment horizontal="right" vertical="center" wrapText="1" indent="1"/>
    </xf>
    <xf numFmtId="0" fontId="7" fillId="2" borderId="47" xfId="0" applyFont="1" applyFill="1" applyBorder="1" applyAlignment="1">
      <alignment horizontal="right" vertical="center" wrapText="1" indent="1"/>
    </xf>
    <xf numFmtId="0" fontId="7" fillId="2" borderId="45" xfId="0" applyFont="1" applyFill="1" applyBorder="1" applyAlignment="1">
      <alignment horizontal="right" vertical="center" wrapText="1" indent="1"/>
    </xf>
    <xf numFmtId="0" fontId="8" fillId="0" borderId="71" xfId="0" applyFont="1" applyBorder="1" applyAlignment="1">
      <alignment horizontal="right" vertical="center" wrapText="1" indent="1"/>
    </xf>
    <xf numFmtId="0" fontId="8" fillId="0" borderId="50" xfId="0" applyFont="1" applyBorder="1" applyAlignment="1">
      <alignment horizontal="right" vertical="center" wrapText="1" indent="1"/>
    </xf>
    <xf numFmtId="0" fontId="8" fillId="0" borderId="51" xfId="0" applyFont="1" applyBorder="1" applyAlignment="1">
      <alignment horizontal="right" vertical="center" wrapText="1" indent="1"/>
    </xf>
    <xf numFmtId="0" fontId="13" fillId="7" borderId="71" xfId="0" applyFont="1" applyFill="1" applyBorder="1" applyAlignment="1">
      <alignment horizontal="center" vertical="top"/>
    </xf>
    <xf numFmtId="0" fontId="13" fillId="7" borderId="50" xfId="0" applyFont="1" applyFill="1" applyBorder="1" applyAlignment="1">
      <alignment horizontal="center" vertical="top"/>
    </xf>
    <xf numFmtId="0" fontId="13" fillId="7" borderId="51" xfId="0" applyFont="1" applyFill="1" applyBorder="1" applyAlignment="1">
      <alignment horizontal="center" vertical="top"/>
    </xf>
    <xf numFmtId="0" fontId="8" fillId="0" borderId="56" xfId="0" applyFont="1" applyBorder="1" applyAlignment="1">
      <alignment horizontal="right" vertical="center" wrapText="1" indent="1"/>
    </xf>
    <xf numFmtId="0" fontId="8" fillId="0" borderId="52" xfId="0" applyFont="1" applyBorder="1" applyAlignment="1">
      <alignment horizontal="right" vertical="center" wrapText="1" indent="1"/>
    </xf>
    <xf numFmtId="0" fontId="13" fillId="7" borderId="56" xfId="0" applyFont="1" applyFill="1" applyBorder="1" applyAlignment="1">
      <alignment horizontal="center" vertical="center" wrapText="1"/>
    </xf>
    <xf numFmtId="165" fontId="11" fillId="5" borderId="53" xfId="1" applyNumberFormat="1" applyFont="1" applyFill="1" applyBorder="1" applyAlignment="1" applyProtection="1">
      <alignment vertical="center"/>
    </xf>
    <xf numFmtId="165" fontId="11" fillId="5" borderId="54" xfId="1" applyNumberFormat="1" applyFont="1" applyFill="1" applyBorder="1" applyAlignment="1" applyProtection="1">
      <alignment vertical="center"/>
    </xf>
    <xf numFmtId="165" fontId="11" fillId="5" borderId="52" xfId="1" applyNumberFormat="1" applyFont="1" applyFill="1" applyBorder="1" applyAlignment="1" applyProtection="1">
      <alignment vertical="center"/>
    </xf>
    <xf numFmtId="0" fontId="7" fillId="0" borderId="52" xfId="0" applyFont="1" applyBorder="1" applyAlignment="1">
      <alignment horizontal="right" vertical="center" wrapText="1" indent="1"/>
    </xf>
    <xf numFmtId="0" fontId="11" fillId="4" borderId="57" xfId="1" applyNumberFormat="1" applyFont="1" applyFill="1" applyBorder="1" applyAlignment="1" applyProtection="1">
      <alignment horizontal="left" vertical="top" wrapText="1"/>
      <protection locked="0"/>
    </xf>
    <xf numFmtId="0" fontId="11" fillId="4" borderId="55" xfId="1" applyNumberFormat="1" applyFont="1" applyFill="1" applyBorder="1" applyAlignment="1" applyProtection="1">
      <alignment horizontal="left" vertical="top" wrapText="1"/>
      <protection locked="0"/>
    </xf>
    <xf numFmtId="0" fontId="8" fillId="0" borderId="4" xfId="0" applyFont="1" applyBorder="1" applyAlignment="1">
      <alignment horizontal="right" vertical="center" wrapText="1" indent="1"/>
    </xf>
    <xf numFmtId="0" fontId="8" fillId="0" borderId="0" xfId="0" applyFont="1" applyAlignment="1">
      <alignment horizontal="right" vertical="center" wrapText="1" indent="1"/>
    </xf>
    <xf numFmtId="0" fontId="8" fillId="0" borderId="68" xfId="0" applyFont="1" applyBorder="1" applyAlignment="1">
      <alignment horizontal="left" vertical="center" wrapText="1" indent="1"/>
    </xf>
    <xf numFmtId="0" fontId="8" fillId="0" borderId="69" xfId="0" applyFont="1" applyBorder="1" applyAlignment="1">
      <alignment horizontal="left" vertical="center" wrapText="1" indent="1"/>
    </xf>
    <xf numFmtId="0" fontId="8" fillId="0" borderId="56" xfId="0" applyFont="1" applyBorder="1" applyAlignment="1">
      <alignment horizontal="left" vertical="center" wrapText="1" indent="1"/>
    </xf>
    <xf numFmtId="0" fontId="8" fillId="0" borderId="52" xfId="0" applyFont="1" applyBorder="1" applyAlignment="1">
      <alignment horizontal="left" vertical="center" wrapText="1" indent="1"/>
    </xf>
    <xf numFmtId="0" fontId="8" fillId="0" borderId="66" xfId="0" applyFont="1" applyBorder="1" applyAlignment="1">
      <alignment horizontal="left" vertical="center" wrapText="1" indent="1"/>
    </xf>
    <xf numFmtId="0" fontId="8" fillId="0" borderId="67" xfId="0" applyFont="1" applyBorder="1" applyAlignment="1">
      <alignment horizontal="left" vertical="center" wrapText="1" indent="1"/>
    </xf>
    <xf numFmtId="0" fontId="7" fillId="0" borderId="69" xfId="0" applyFont="1" applyBorder="1" applyAlignment="1">
      <alignment horizontal="left" vertical="center" wrapText="1" indent="1"/>
    </xf>
    <xf numFmtId="0" fontId="7" fillId="0" borderId="52" xfId="0" applyFont="1" applyBorder="1" applyAlignment="1">
      <alignment horizontal="left" vertical="center" wrapText="1" indent="1"/>
    </xf>
    <xf numFmtId="0" fontId="7" fillId="0" borderId="67" xfId="0" applyFont="1" applyBorder="1" applyAlignment="1">
      <alignment horizontal="left" vertical="center" wrapText="1" indent="1"/>
    </xf>
    <xf numFmtId="165" fontId="11" fillId="5" borderId="53" xfId="6" applyNumberFormat="1" applyFont="1" applyFill="1" applyBorder="1" applyAlignment="1" applyProtection="1">
      <alignment vertical="center"/>
    </xf>
    <xf numFmtId="165" fontId="11" fillId="5" borderId="54" xfId="6" applyNumberFormat="1" applyFont="1" applyFill="1" applyBorder="1" applyAlignment="1" applyProtection="1">
      <alignment vertical="center"/>
    </xf>
    <xf numFmtId="0" fontId="9" fillId="7" borderId="53"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8" fillId="0" borderId="63" xfId="0" applyFont="1" applyBorder="1" applyAlignment="1">
      <alignment horizontal="left" vertical="center" wrapText="1" indent="1"/>
    </xf>
    <xf numFmtId="0" fontId="7" fillId="0" borderId="54" xfId="0" applyFont="1" applyBorder="1" applyAlignment="1">
      <alignment horizontal="left" vertical="center" wrapText="1" indent="1"/>
    </xf>
    <xf numFmtId="0" fontId="8" fillId="0" borderId="49" xfId="0" applyFont="1" applyBorder="1" applyAlignment="1">
      <alignment horizontal="right" vertical="top" wrapText="1"/>
    </xf>
    <xf numFmtId="0" fontId="8" fillId="0" borderId="51" xfId="0" applyFont="1" applyBorder="1" applyAlignment="1">
      <alignment horizontal="right" vertical="top" wrapText="1"/>
    </xf>
    <xf numFmtId="0" fontId="8" fillId="0" borderId="79" xfId="0" applyFont="1" applyBorder="1" applyAlignment="1">
      <alignment horizontal="right" vertical="top" wrapText="1"/>
    </xf>
    <xf numFmtId="0" fontId="8" fillId="0" borderId="80" xfId="0" applyFont="1" applyBorder="1" applyAlignment="1">
      <alignment horizontal="right" vertical="top" wrapText="1"/>
    </xf>
    <xf numFmtId="0" fontId="8" fillId="0" borderId="77" xfId="0" applyFont="1" applyBorder="1" applyAlignment="1">
      <alignment horizontal="right" vertical="top" wrapText="1"/>
    </xf>
    <xf numFmtId="0" fontId="8" fillId="0" borderId="78" xfId="0" applyFont="1" applyBorder="1" applyAlignment="1">
      <alignment horizontal="right" vertical="top" wrapText="1"/>
    </xf>
    <xf numFmtId="0" fontId="6" fillId="3" borderId="4" xfId="0" applyFont="1" applyFill="1" applyBorder="1" applyAlignment="1">
      <alignment horizontal="left" wrapText="1"/>
    </xf>
    <xf numFmtId="0" fontId="6" fillId="3" borderId="0" xfId="0" applyFont="1" applyFill="1" applyAlignment="1">
      <alignment horizontal="left" wrapText="1"/>
    </xf>
    <xf numFmtId="0" fontId="6" fillId="3" borderId="3" xfId="0" applyFont="1" applyFill="1" applyBorder="1" applyAlignment="1">
      <alignment horizontal="left" wrapText="1"/>
    </xf>
    <xf numFmtId="0" fontId="9" fillId="7" borderId="81" xfId="0" applyFont="1" applyFill="1" applyBorder="1" applyAlignment="1">
      <alignment horizontal="center" vertical="center" wrapText="1"/>
    </xf>
    <xf numFmtId="165" fontId="11" fillId="5" borderId="53" xfId="6" applyNumberFormat="1" applyFont="1" applyFill="1" applyBorder="1" applyAlignment="1" applyProtection="1">
      <alignment horizontal="center" vertical="center"/>
    </xf>
    <xf numFmtId="165" fontId="11" fillId="5" borderId="54" xfId="6" applyNumberFormat="1" applyFont="1" applyFill="1" applyBorder="1" applyAlignment="1" applyProtection="1">
      <alignment horizontal="center" vertical="center"/>
    </xf>
    <xf numFmtId="0" fontId="8" fillId="0" borderId="58" xfId="0" applyFont="1" applyBorder="1" applyAlignment="1">
      <alignment horizontal="left" wrapText="1" indent="1"/>
    </xf>
    <xf numFmtId="0" fontId="8" fillId="0" borderId="53" xfId="0" applyFont="1" applyBorder="1" applyAlignment="1">
      <alignment horizontal="left" wrapText="1" indent="1"/>
    </xf>
    <xf numFmtId="0" fontId="8" fillId="0" borderId="60" xfId="0" applyFont="1" applyBorder="1" applyAlignment="1">
      <alignment horizontal="left" wrapText="1" indent="1"/>
    </xf>
    <xf numFmtId="0" fontId="8" fillId="0" borderId="61" xfId="0" applyFont="1" applyBorder="1" applyAlignment="1">
      <alignment horizontal="left" wrapText="1" indent="1"/>
    </xf>
    <xf numFmtId="0" fontId="8" fillId="0" borderId="63" xfId="0" applyFont="1" applyBorder="1" applyAlignment="1">
      <alignment horizontal="left" wrapText="1" indent="1"/>
    </xf>
    <xf numFmtId="0" fontId="8" fillId="0" borderId="54" xfId="0" applyFont="1" applyBorder="1" applyAlignment="1">
      <alignment horizontal="left" wrapText="1" indent="1"/>
    </xf>
    <xf numFmtId="0" fontId="8" fillId="0" borderId="53" xfId="0" applyFont="1" applyBorder="1" applyAlignment="1">
      <alignment horizontal="center" wrapText="1"/>
    </xf>
    <xf numFmtId="0" fontId="8" fillId="0" borderId="61" xfId="0" applyFont="1" applyBorder="1" applyAlignment="1">
      <alignment horizontal="center" wrapText="1"/>
    </xf>
    <xf numFmtId="0" fontId="8" fillId="0" borderId="54" xfId="0" applyFont="1" applyBorder="1" applyAlignment="1">
      <alignment horizontal="center" wrapText="1"/>
    </xf>
    <xf numFmtId="0" fontId="39" fillId="5" borderId="53" xfId="0" applyFont="1" applyFill="1" applyBorder="1" applyAlignment="1">
      <alignment horizontal="left" vertical="center" wrapText="1"/>
    </xf>
    <xf numFmtId="0" fontId="39" fillId="5" borderId="61" xfId="0" applyFont="1" applyFill="1" applyBorder="1" applyAlignment="1">
      <alignment horizontal="left" vertical="center" wrapText="1"/>
    </xf>
    <xf numFmtId="0" fontId="39" fillId="5" borderId="54" xfId="0" applyFont="1" applyFill="1" applyBorder="1" applyAlignment="1">
      <alignment horizontal="left" vertical="center" wrapText="1"/>
    </xf>
    <xf numFmtId="0" fontId="9" fillId="7" borderId="37"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9" fillId="7" borderId="38"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45" xfId="0" applyFont="1" applyFill="1" applyBorder="1" applyAlignment="1">
      <alignment horizontal="center" vertical="center" wrapText="1"/>
    </xf>
    <xf numFmtId="0" fontId="8" fillId="0" borderId="71" xfId="0" applyFont="1" applyBorder="1" applyAlignment="1">
      <alignment horizontal="left" vertical="top" wrapText="1" indent="1"/>
    </xf>
    <xf numFmtId="0" fontId="8" fillId="0" borderId="50" xfId="0" applyFont="1" applyBorder="1" applyAlignment="1">
      <alignment horizontal="left" vertical="top" wrapText="1" indent="1"/>
    </xf>
    <xf numFmtId="0" fontId="8" fillId="0" borderId="51" xfId="0" applyFont="1" applyBorder="1" applyAlignment="1">
      <alignment horizontal="left" vertical="top" wrapText="1" indent="1"/>
    </xf>
    <xf numFmtId="0" fontId="13" fillId="0" borderId="71" xfId="0" applyFont="1" applyBorder="1" applyAlignment="1">
      <alignment horizontal="left" vertical="top" wrapText="1" indent="1"/>
    </xf>
    <xf numFmtId="0" fontId="13" fillId="0" borderId="50" xfId="0" applyFont="1" applyBorder="1" applyAlignment="1">
      <alignment horizontal="left" vertical="top" wrapText="1" indent="1"/>
    </xf>
    <xf numFmtId="0" fontId="13" fillId="0" borderId="51" xfId="0" applyFont="1" applyBorder="1" applyAlignment="1">
      <alignment horizontal="left" vertical="top" wrapText="1" indent="1"/>
    </xf>
    <xf numFmtId="0" fontId="9" fillId="7" borderId="58" xfId="0" applyFont="1" applyFill="1" applyBorder="1" applyAlignment="1">
      <alignment horizontal="center" vertical="center" wrapText="1"/>
    </xf>
    <xf numFmtId="0" fontId="9" fillId="7" borderId="63" xfId="0" applyFont="1" applyFill="1" applyBorder="1" applyAlignment="1">
      <alignment horizontal="center" vertical="center" wrapText="1"/>
    </xf>
    <xf numFmtId="0" fontId="13" fillId="0" borderId="71" xfId="0" applyFont="1" applyBorder="1" applyAlignment="1">
      <alignment horizontal="left" vertical="top" wrapText="1"/>
    </xf>
    <xf numFmtId="0" fontId="13" fillId="0" borderId="50" xfId="0" applyFont="1" applyBorder="1" applyAlignment="1">
      <alignment horizontal="left" vertical="top" wrapText="1"/>
    </xf>
    <xf numFmtId="0" fontId="13" fillId="0" borderId="51" xfId="0" applyFont="1" applyBorder="1" applyAlignment="1">
      <alignment horizontal="left" vertical="top" wrapText="1"/>
    </xf>
    <xf numFmtId="0" fontId="8" fillId="0" borderId="56" xfId="0" applyFont="1" applyBorder="1" applyAlignment="1">
      <alignment horizontal="center" vertical="center" wrapText="1"/>
    </xf>
    <xf numFmtId="0" fontId="9" fillId="7" borderId="57" xfId="0" applyFont="1" applyFill="1" applyBorder="1" applyAlignment="1">
      <alignment horizontal="center" vertical="center" wrapText="1"/>
    </xf>
    <xf numFmtId="0" fontId="8" fillId="4" borderId="4"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6" fillId="3" borderId="4" xfId="0" applyFont="1" applyFill="1" applyBorder="1" applyAlignment="1">
      <alignment horizontal="left" vertical="top"/>
    </xf>
    <xf numFmtId="0" fontId="6" fillId="3" borderId="0" xfId="0" applyFont="1" applyFill="1" applyAlignment="1">
      <alignment horizontal="left" vertical="top"/>
    </xf>
    <xf numFmtId="0" fontId="6" fillId="3" borderId="3" xfId="0" applyFont="1" applyFill="1" applyBorder="1" applyAlignment="1">
      <alignment horizontal="left" vertical="top"/>
    </xf>
    <xf numFmtId="0" fontId="13" fillId="0" borderId="56" xfId="0" applyFont="1" applyBorder="1" applyAlignment="1">
      <alignment horizontal="left" vertical="top" wrapText="1" indent="1"/>
    </xf>
    <xf numFmtId="0" fontId="13" fillId="0" borderId="52" xfId="0" applyFont="1" applyBorder="1" applyAlignment="1">
      <alignment horizontal="left" vertical="top" wrapText="1" indent="1"/>
    </xf>
    <xf numFmtId="0" fontId="8" fillId="0" borderId="56" xfId="0" applyFont="1" applyBorder="1" applyAlignment="1">
      <alignment horizontal="left" vertical="top" wrapText="1" indent="1"/>
    </xf>
    <xf numFmtId="0" fontId="8" fillId="0" borderId="52" xfId="0" applyFont="1" applyBorder="1" applyAlignment="1">
      <alignment horizontal="left" vertical="top" wrapText="1" indent="1"/>
    </xf>
    <xf numFmtId="0" fontId="8" fillId="0" borderId="56" xfId="0" applyFont="1" applyBorder="1" applyAlignment="1">
      <alignment horizontal="left" vertical="top" wrapText="1" indent="2"/>
    </xf>
    <xf numFmtId="0" fontId="8" fillId="0" borderId="52" xfId="0" applyFont="1" applyBorder="1" applyAlignment="1">
      <alignment horizontal="left" vertical="top" wrapText="1" indent="2"/>
    </xf>
    <xf numFmtId="0" fontId="13" fillId="0" borderId="56" xfId="0" applyFont="1" applyBorder="1" applyAlignment="1">
      <alignment horizontal="left" vertical="top" wrapText="1" indent="2"/>
    </xf>
    <xf numFmtId="0" fontId="13" fillId="0" borderId="52" xfId="0" applyFont="1" applyBorder="1" applyAlignment="1">
      <alignment horizontal="left" vertical="top" wrapText="1" indent="2"/>
    </xf>
    <xf numFmtId="0" fontId="9" fillId="7" borderId="56" xfId="0" applyFont="1" applyFill="1" applyBorder="1" applyAlignment="1">
      <alignment horizontal="center" vertical="center" wrapText="1"/>
    </xf>
    <xf numFmtId="0" fontId="13" fillId="7" borderId="37" xfId="0" applyFont="1" applyFill="1" applyBorder="1" applyAlignment="1">
      <alignment horizontal="center" vertical="center" wrapText="1"/>
    </xf>
    <xf numFmtId="0" fontId="13" fillId="7" borderId="40"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3" fillId="7" borderId="47" xfId="0" applyFont="1" applyFill="1" applyBorder="1" applyAlignment="1">
      <alignment horizontal="center" vertical="center" wrapText="1"/>
    </xf>
    <xf numFmtId="0" fontId="13" fillId="7" borderId="45" xfId="0" applyFont="1" applyFill="1" applyBorder="1" applyAlignment="1">
      <alignment horizontal="center" vertical="center" wrapText="1"/>
    </xf>
    <xf numFmtId="0" fontId="8" fillId="0" borderId="74" xfId="0" applyFont="1" applyBorder="1" applyAlignment="1">
      <alignment horizontal="left" vertical="center" wrapText="1"/>
    </xf>
    <xf numFmtId="0" fontId="8" fillId="0" borderId="75" xfId="0" applyFont="1" applyBorder="1" applyAlignment="1">
      <alignment horizontal="left" vertical="center" wrapText="1"/>
    </xf>
    <xf numFmtId="0" fontId="11" fillId="4" borderId="52" xfId="1" applyNumberFormat="1" applyFont="1" applyFill="1" applyBorder="1" applyAlignment="1" applyProtection="1">
      <alignment horizontal="left" vertical="top" wrapText="1"/>
      <protection locked="0"/>
    </xf>
    <xf numFmtId="0" fontId="11" fillId="4" borderId="75" xfId="1" applyNumberFormat="1" applyFont="1" applyFill="1" applyBorder="1" applyAlignment="1" applyProtection="1">
      <alignment horizontal="left" vertical="top" wrapText="1"/>
      <protection locked="0"/>
    </xf>
    <xf numFmtId="0" fontId="11" fillId="4" borderId="76" xfId="1" applyNumberFormat="1" applyFont="1" applyFill="1" applyBorder="1" applyAlignment="1" applyProtection="1">
      <alignment horizontal="left" vertical="top" wrapText="1"/>
      <protection locked="0"/>
    </xf>
    <xf numFmtId="0" fontId="8" fillId="4" borderId="4" xfId="0" applyFont="1" applyFill="1" applyBorder="1" applyAlignment="1" applyProtection="1">
      <alignment vertical="top" wrapText="1"/>
      <protection locked="0"/>
    </xf>
    <xf numFmtId="0" fontId="8" fillId="4" borderId="0" xfId="0" applyFont="1" applyFill="1" applyAlignment="1" applyProtection="1">
      <alignment vertical="top" wrapText="1"/>
      <protection locked="0"/>
    </xf>
    <xf numFmtId="0" fontId="8" fillId="4" borderId="3" xfId="0" applyFont="1" applyFill="1" applyBorder="1" applyAlignment="1" applyProtection="1">
      <alignment vertical="top" wrapText="1"/>
      <protection locked="0"/>
    </xf>
    <xf numFmtId="0" fontId="8" fillId="0" borderId="37" xfId="0" applyFont="1" applyBorder="1" applyAlignment="1">
      <alignment horizontal="left" vertical="center" wrapText="1"/>
    </xf>
    <xf numFmtId="0" fontId="8" fillId="0" borderId="38" xfId="0" applyFont="1" applyBorder="1" applyAlignment="1">
      <alignment horizontal="left" vertical="center" wrapText="1"/>
    </xf>
    <xf numFmtId="0" fontId="8" fillId="0" borderId="42" xfId="0" applyFont="1" applyBorder="1" applyAlignment="1">
      <alignment horizontal="left" vertical="center"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1" fontId="43" fillId="5" borderId="53" xfId="1" applyNumberFormat="1" applyFont="1" applyFill="1" applyBorder="1" applyAlignment="1" applyProtection="1">
      <alignment horizontal="center" vertical="center" wrapText="1"/>
    </xf>
    <xf numFmtId="1" fontId="43" fillId="5" borderId="61" xfId="1" applyNumberFormat="1" applyFont="1" applyFill="1" applyBorder="1" applyAlignment="1" applyProtection="1">
      <alignment horizontal="center" vertical="center" wrapText="1"/>
    </xf>
    <xf numFmtId="1" fontId="43" fillId="5" borderId="54" xfId="1" applyNumberFormat="1" applyFont="1" applyFill="1" applyBorder="1" applyAlignment="1" applyProtection="1">
      <alignment horizontal="center" vertical="center" wrapText="1"/>
    </xf>
    <xf numFmtId="0" fontId="8" fillId="2" borderId="37"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2"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8" fillId="2" borderId="45" xfId="0" applyFont="1" applyFill="1" applyBorder="1" applyAlignment="1">
      <alignment horizontal="left"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2"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8" fillId="4" borderId="71" xfId="0" applyFont="1" applyFill="1" applyBorder="1" applyAlignment="1" applyProtection="1">
      <alignment horizontal="center" vertical="center" wrapText="1"/>
      <protection locked="0"/>
    </xf>
    <xf numFmtId="0" fontId="8" fillId="4" borderId="51" xfId="0" applyFont="1" applyFill="1" applyBorder="1" applyAlignment="1" applyProtection="1">
      <alignment horizontal="center" vertical="center" wrapText="1"/>
      <protection locked="0"/>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2" xfId="0" applyFont="1" applyBorder="1" applyAlignment="1">
      <alignment horizontal="center" vertical="center" wrapText="1"/>
    </xf>
    <xf numFmtId="0" fontId="13" fillId="7" borderId="56" xfId="0" applyFont="1" applyFill="1" applyBorder="1" applyAlignment="1">
      <alignment horizontal="center" vertical="top" wrapText="1"/>
    </xf>
    <xf numFmtId="0" fontId="13" fillId="7" borderId="52" xfId="0" applyFont="1" applyFill="1" applyBorder="1" applyAlignment="1">
      <alignment horizontal="center" vertical="top" wrapText="1"/>
    </xf>
    <xf numFmtId="0" fontId="13" fillId="7" borderId="57" xfId="0" applyFont="1" applyFill="1" applyBorder="1" applyAlignment="1">
      <alignment horizontal="center" vertical="top" wrapText="1"/>
    </xf>
    <xf numFmtId="0" fontId="11" fillId="4" borderId="39" xfId="1" applyNumberFormat="1" applyFont="1" applyFill="1" applyBorder="1" applyAlignment="1" applyProtection="1">
      <alignment horizontal="left" vertical="center" wrapText="1"/>
      <protection locked="0"/>
    </xf>
    <xf numFmtId="0" fontId="11" fillId="4" borderId="38" xfId="1" applyNumberFormat="1" applyFont="1" applyFill="1" applyBorder="1" applyAlignment="1" applyProtection="1">
      <alignment horizontal="left" vertical="center" wrapText="1"/>
      <protection locked="0"/>
    </xf>
    <xf numFmtId="0" fontId="11" fillId="4" borderId="46" xfId="1" applyNumberFormat="1" applyFont="1" applyFill="1" applyBorder="1" applyAlignment="1" applyProtection="1">
      <alignment horizontal="left" vertical="center" wrapText="1"/>
      <protection locked="0"/>
    </xf>
    <xf numFmtId="0" fontId="11" fillId="4" borderId="45" xfId="1" applyNumberFormat="1" applyFont="1" applyFill="1" applyBorder="1" applyAlignment="1" applyProtection="1">
      <alignment horizontal="left" vertical="center" wrapText="1"/>
      <protection locked="0"/>
    </xf>
    <xf numFmtId="0" fontId="11" fillId="4" borderId="41" xfId="1" applyNumberFormat="1" applyFont="1" applyFill="1" applyBorder="1" applyAlignment="1" applyProtection="1">
      <alignment horizontal="left" vertical="center" wrapText="1"/>
      <protection locked="0"/>
    </xf>
    <xf numFmtId="0" fontId="11" fillId="4" borderId="48" xfId="1" applyNumberFormat="1" applyFont="1" applyFill="1" applyBorder="1" applyAlignment="1" applyProtection="1">
      <alignment horizontal="left" vertical="center" wrapText="1"/>
      <protection locked="0"/>
    </xf>
    <xf numFmtId="0" fontId="11" fillId="4" borderId="43" xfId="1" applyNumberFormat="1" applyFont="1" applyFill="1" applyBorder="1" applyAlignment="1" applyProtection="1">
      <alignment horizontal="left" vertical="center" wrapText="1"/>
      <protection locked="0"/>
    </xf>
    <xf numFmtId="0" fontId="11" fillId="4" borderId="42" xfId="1" applyNumberFormat="1" applyFont="1" applyFill="1" applyBorder="1" applyAlignment="1" applyProtection="1">
      <alignment horizontal="left" vertical="center" wrapText="1"/>
      <protection locked="0"/>
    </xf>
    <xf numFmtId="0" fontId="11" fillId="4" borderId="3" xfId="1" applyNumberFormat="1" applyFont="1" applyFill="1" applyBorder="1" applyAlignment="1" applyProtection="1">
      <alignment horizontal="left" vertical="center" wrapText="1"/>
      <protection locked="0"/>
    </xf>
    <xf numFmtId="0" fontId="0" fillId="0" borderId="63" xfId="0" applyBorder="1" applyAlignment="1">
      <alignment horizontal="left" vertical="center" wrapText="1"/>
    </xf>
    <xf numFmtId="0" fontId="9" fillId="14" borderId="49" xfId="0" applyFont="1" applyFill="1" applyBorder="1" applyAlignment="1">
      <alignment horizontal="center" vertical="top" wrapText="1"/>
    </xf>
    <xf numFmtId="0" fontId="9" fillId="14" borderId="51" xfId="0" applyFont="1" applyFill="1" applyBorder="1" applyAlignment="1">
      <alignment horizontal="center" vertical="top" wrapText="1"/>
    </xf>
    <xf numFmtId="0" fontId="9" fillId="14" borderId="70" xfId="0" applyFont="1" applyFill="1" applyBorder="1" applyAlignment="1">
      <alignment horizontal="center" vertical="top" wrapText="1"/>
    </xf>
    <xf numFmtId="0" fontId="13" fillId="14" borderId="49" xfId="0" applyFont="1" applyFill="1" applyBorder="1" applyAlignment="1">
      <alignment horizontal="center" vertical="top" wrapText="1"/>
    </xf>
    <xf numFmtId="0" fontId="13" fillId="14" borderId="51" xfId="0" applyFont="1" applyFill="1" applyBorder="1" applyAlignment="1">
      <alignment horizontal="center" vertical="top" wrapText="1"/>
    </xf>
    <xf numFmtId="0" fontId="8" fillId="0" borderId="58" xfId="0" applyFont="1" applyBorder="1" applyAlignment="1">
      <alignment vertical="center" wrapText="1"/>
    </xf>
    <xf numFmtId="0" fontId="8" fillId="0" borderId="60" xfId="0" applyFont="1" applyBorder="1" applyAlignment="1">
      <alignment vertical="center" wrapText="1"/>
    </xf>
    <xf numFmtId="0" fontId="8" fillId="0" borderId="63" xfId="0" applyFont="1" applyBorder="1" applyAlignment="1">
      <alignment vertical="center" wrapText="1"/>
    </xf>
    <xf numFmtId="0" fontId="11" fillId="4" borderId="53" xfId="1" applyNumberFormat="1" applyFont="1" applyFill="1" applyBorder="1" applyAlignment="1" applyProtection="1">
      <alignment vertical="center" wrapText="1"/>
      <protection locked="0"/>
    </xf>
    <xf numFmtId="0" fontId="11" fillId="4" borderId="61" xfId="1" applyNumberFormat="1" applyFont="1" applyFill="1" applyBorder="1" applyAlignment="1" applyProtection="1">
      <alignment vertical="center" wrapText="1"/>
      <protection locked="0"/>
    </xf>
    <xf numFmtId="0" fontId="11" fillId="4" borderId="54" xfId="1" applyNumberFormat="1" applyFont="1" applyFill="1" applyBorder="1" applyAlignment="1" applyProtection="1">
      <alignment vertical="center" wrapText="1"/>
      <protection locked="0"/>
    </xf>
    <xf numFmtId="0" fontId="11" fillId="4" borderId="39" xfId="1" applyNumberFormat="1" applyFont="1" applyFill="1" applyBorder="1" applyAlignment="1" applyProtection="1">
      <alignment vertical="center" wrapText="1"/>
      <protection locked="0"/>
    </xf>
    <xf numFmtId="0" fontId="11" fillId="4" borderId="38" xfId="1" applyNumberFormat="1" applyFont="1" applyFill="1" applyBorder="1" applyAlignment="1" applyProtection="1">
      <alignment vertical="center" wrapText="1"/>
      <protection locked="0"/>
    </xf>
    <xf numFmtId="0" fontId="11" fillId="4" borderId="43" xfId="1" applyNumberFormat="1" applyFont="1" applyFill="1" applyBorder="1" applyAlignment="1" applyProtection="1">
      <alignment vertical="center" wrapText="1"/>
      <protection locked="0"/>
    </xf>
    <xf numFmtId="0" fontId="11" fillId="4" borderId="42" xfId="1" applyNumberFormat="1" applyFont="1" applyFill="1" applyBorder="1" applyAlignment="1" applyProtection="1">
      <alignment vertical="center" wrapText="1"/>
      <protection locked="0"/>
    </xf>
    <xf numFmtId="0" fontId="11" fillId="4" borderId="46" xfId="1" applyNumberFormat="1" applyFont="1" applyFill="1" applyBorder="1" applyAlignment="1" applyProtection="1">
      <alignment vertical="center" wrapText="1"/>
      <protection locked="0"/>
    </xf>
    <xf numFmtId="0" fontId="11" fillId="4" borderId="45" xfId="1" applyNumberFormat="1" applyFont="1" applyFill="1" applyBorder="1" applyAlignment="1" applyProtection="1">
      <alignment vertical="center" wrapText="1"/>
      <protection locked="0"/>
    </xf>
    <xf numFmtId="0" fontId="11" fillId="4" borderId="41" xfId="1" applyNumberFormat="1" applyFont="1" applyFill="1" applyBorder="1" applyAlignment="1" applyProtection="1">
      <alignment vertical="center" wrapText="1"/>
      <protection locked="0"/>
    </xf>
    <xf numFmtId="0" fontId="11" fillId="4" borderId="3" xfId="1" applyNumberFormat="1" applyFont="1" applyFill="1" applyBorder="1" applyAlignment="1" applyProtection="1">
      <alignment vertical="center" wrapText="1"/>
      <protection locked="0"/>
    </xf>
    <xf numFmtId="0" fontId="11" fillId="4" borderId="48" xfId="1" applyNumberFormat="1" applyFont="1" applyFill="1" applyBorder="1" applyAlignment="1" applyProtection="1">
      <alignment vertical="center" wrapText="1"/>
      <protection locked="0"/>
    </xf>
    <xf numFmtId="0" fontId="11" fillId="4" borderId="82" xfId="1" applyNumberFormat="1" applyFont="1" applyFill="1" applyBorder="1" applyAlignment="1" applyProtection="1">
      <alignment vertical="center" wrapText="1"/>
      <protection locked="0"/>
    </xf>
    <xf numFmtId="0" fontId="11" fillId="4" borderId="99" xfId="1" applyNumberFormat="1" applyFont="1" applyFill="1" applyBorder="1" applyAlignment="1" applyProtection="1">
      <alignment vertical="center" wrapText="1"/>
      <protection locked="0"/>
    </xf>
    <xf numFmtId="0" fontId="11" fillId="4" borderId="8" xfId="1" applyNumberFormat="1" applyFont="1" applyFill="1" applyBorder="1" applyAlignment="1" applyProtection="1">
      <alignment vertical="center" wrapText="1"/>
      <protection locked="0"/>
    </xf>
    <xf numFmtId="0" fontId="8" fillId="0" borderId="72" xfId="0" applyFont="1" applyBorder="1" applyAlignment="1">
      <alignment vertical="center" wrapText="1"/>
    </xf>
    <xf numFmtId="0" fontId="11" fillId="5" borderId="52" xfId="1" applyNumberFormat="1" applyFont="1" applyFill="1" applyBorder="1" applyAlignment="1" applyProtection="1">
      <alignment horizontal="left" vertical="center" wrapText="1"/>
    </xf>
    <xf numFmtId="0" fontId="11" fillId="5" borderId="57" xfId="1" applyNumberFormat="1" applyFont="1" applyFill="1" applyBorder="1" applyAlignment="1" applyProtection="1">
      <alignment horizontal="left" vertical="center" wrapText="1"/>
    </xf>
    <xf numFmtId="0" fontId="9" fillId="14" borderId="52" xfId="0" applyFont="1" applyFill="1" applyBorder="1" applyAlignment="1">
      <alignment horizontal="center" vertical="center" wrapText="1"/>
    </xf>
    <xf numFmtId="0" fontId="9" fillId="14" borderId="57"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6" xfId="0" applyFont="1" applyFill="1" applyBorder="1" applyAlignment="1">
      <alignment horizontal="center" vertical="top" wrapText="1"/>
    </xf>
    <xf numFmtId="0" fontId="13" fillId="7" borderId="63" xfId="0" applyFont="1" applyFill="1" applyBorder="1" applyAlignment="1">
      <alignment horizontal="center" vertical="center" wrapText="1"/>
    </xf>
    <xf numFmtId="0" fontId="13" fillId="7" borderId="54" xfId="0" applyFont="1" applyFill="1" applyBorder="1" applyAlignment="1">
      <alignment horizontal="center" vertical="center" wrapText="1"/>
    </xf>
    <xf numFmtId="0" fontId="13" fillId="7" borderId="64" xfId="0" applyFont="1" applyFill="1" applyBorder="1" applyAlignment="1">
      <alignment horizontal="center" vertical="center" wrapText="1"/>
    </xf>
    <xf numFmtId="0" fontId="11" fillId="5" borderId="53" xfId="1" applyNumberFormat="1" applyFont="1" applyFill="1" applyBorder="1" applyAlignment="1" applyProtection="1">
      <alignment horizontal="left" vertical="center" wrapText="1"/>
    </xf>
    <xf numFmtId="0" fontId="11" fillId="5" borderId="59" xfId="1" applyNumberFormat="1" applyFont="1" applyFill="1" applyBorder="1" applyAlignment="1" applyProtection="1">
      <alignment horizontal="left" vertical="center" wrapText="1"/>
    </xf>
    <xf numFmtId="0" fontId="11" fillId="5" borderId="54" xfId="1" applyNumberFormat="1" applyFont="1" applyFill="1" applyBorder="1" applyAlignment="1" applyProtection="1">
      <alignment horizontal="left" vertical="center" wrapText="1"/>
    </xf>
    <xf numFmtId="0" fontId="11" fillId="5" borderId="64" xfId="1" applyNumberFormat="1" applyFont="1" applyFill="1" applyBorder="1" applyAlignment="1" applyProtection="1">
      <alignment horizontal="left" vertical="center" wrapText="1"/>
    </xf>
    <xf numFmtId="0" fontId="20" fillId="2" borderId="0" xfId="3" quotePrefix="1" applyFont="1" applyFill="1" applyAlignment="1">
      <alignment horizontal="left"/>
    </xf>
    <xf numFmtId="0" fontId="21" fillId="2" borderId="10" xfId="0" applyFont="1" applyFill="1" applyBorder="1" applyAlignment="1">
      <alignment horizontal="center"/>
    </xf>
    <xf numFmtId="0" fontId="24" fillId="0" borderId="16" xfId="0" applyFont="1" applyBorder="1" applyAlignment="1">
      <alignment horizontal="center"/>
    </xf>
    <xf numFmtId="0" fontId="24" fillId="2" borderId="16" xfId="0" applyFont="1" applyFill="1" applyBorder="1" applyAlignment="1">
      <alignment horizontal="center"/>
    </xf>
    <xf numFmtId="0" fontId="20" fillId="2" borderId="0" xfId="3" applyFont="1" applyFill="1" applyAlignment="1">
      <alignment horizontal="left" wrapText="1" indent="1"/>
    </xf>
    <xf numFmtId="167" fontId="24" fillId="2" borderId="0" xfId="6" applyNumberFormat="1" applyFont="1" applyFill="1" applyBorder="1" applyAlignment="1">
      <alignment horizontal="center"/>
    </xf>
    <xf numFmtId="0" fontId="14" fillId="2" borderId="0" xfId="0" applyFont="1" applyFill="1" applyAlignment="1">
      <alignment horizontal="left" vertical="top" wrapText="1" indent="3"/>
    </xf>
    <xf numFmtId="0" fontId="24" fillId="2" borderId="10" xfId="0" applyFont="1" applyFill="1" applyBorder="1" applyAlignment="1">
      <alignment horizontal="center"/>
    </xf>
    <xf numFmtId="167" fontId="24" fillId="2" borderId="9" xfId="0" applyNumberFormat="1" applyFont="1" applyFill="1" applyBorder="1" applyAlignment="1">
      <alignment horizontal="center"/>
    </xf>
    <xf numFmtId="0" fontId="20" fillId="8" borderId="0" xfId="0" applyFont="1" applyFill="1" applyAlignment="1">
      <alignment horizontal="left" indent="1"/>
    </xf>
    <xf numFmtId="0" fontId="20" fillId="2" borderId="0" xfId="0" applyFont="1" applyFill="1" applyAlignment="1">
      <alignment horizontal="left"/>
    </xf>
    <xf numFmtId="0" fontId="24" fillId="23" borderId="96" xfId="9" applyFont="1" applyFill="1" applyBorder="1" applyAlignment="1">
      <alignment horizontal="center"/>
    </xf>
    <xf numFmtId="0" fontId="24" fillId="23" borderId="97" xfId="9" applyFont="1" applyFill="1" applyBorder="1" applyAlignment="1">
      <alignment horizontal="center"/>
    </xf>
    <xf numFmtId="0" fontId="24" fillId="24" borderId="97" xfId="9" applyFont="1" applyFill="1" applyBorder="1" applyAlignment="1">
      <alignment horizontal="center"/>
    </xf>
    <xf numFmtId="0" fontId="24" fillId="24" borderId="98" xfId="9" applyFont="1" applyFill="1" applyBorder="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14" fillId="0" borderId="11" xfId="0" applyFont="1" applyBorder="1" applyAlignment="1">
      <alignment horizontal="center"/>
    </xf>
    <xf numFmtId="0" fontId="14" fillId="0" borderId="2" xfId="0" applyFont="1" applyBorder="1" applyAlignment="1">
      <alignment horizontal="center"/>
    </xf>
    <xf numFmtId="167" fontId="16" fillId="3" borderId="13" xfId="0" applyNumberFormat="1" applyFont="1" applyFill="1" applyBorder="1" applyAlignment="1">
      <alignment horizontal="center"/>
    </xf>
    <xf numFmtId="167" fontId="16" fillId="3" borderId="26" xfId="0" applyNumberFormat="1" applyFont="1" applyFill="1" applyBorder="1" applyAlignment="1">
      <alignment horizontal="center"/>
    </xf>
    <xf numFmtId="167" fontId="24" fillId="0" borderId="0" xfId="6" applyNumberFormat="1" applyFont="1" applyFill="1" applyBorder="1" applyAlignment="1">
      <alignment horizontal="center"/>
    </xf>
  </cellXfs>
  <cellStyles count="11">
    <cellStyle name="Comma" xfId="6" builtinId="3"/>
    <cellStyle name="Comma 10 3" xfId="5" xr:uid="{1C1C1E5E-DA75-4111-AA7F-2BDC6B541EAC}"/>
    <cellStyle name="Comma 15 10" xfId="1" xr:uid="{5C0DDD7C-55E9-417D-A5C9-37D88B66CDE7}"/>
    <cellStyle name="Comma 30" xfId="4" xr:uid="{E12EA4D7-D871-4179-ACCC-48CBA8F13510}"/>
    <cellStyle name="Hyperlink" xfId="10" builtinId="8"/>
    <cellStyle name="Normal" xfId="0" builtinId="0"/>
    <cellStyle name="Normal 2" xfId="3" xr:uid="{38ACC904-0B6B-43AA-9FC0-BBD39D04CEF9}"/>
    <cellStyle name="Normal_Julie" xfId="8" xr:uid="{6FFE1784-EE0D-4DE8-9E12-0B014C7E7322}"/>
    <cellStyle name="Normal_Production" xfId="9" xr:uid="{8A983AED-E718-44B1-935F-65C0346CDE8A}"/>
    <cellStyle name="Normal_Sheet1" xfId="7" xr:uid="{58DF4372-3AE4-4C7B-83E5-D28E29597399}"/>
    <cellStyle name="Percent 12 10" xfId="2" xr:uid="{87D23698-5F6B-4E01-8AA5-696A8B18AB2A}"/>
  </cellStyles>
  <dxfs count="8">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DDEBF7"/>
      <color rgb="FF9BC2E6"/>
      <color rgb="FF963634"/>
      <color rgb="FFE6B8B7"/>
      <color rgb="FFF2DCDB"/>
      <color rgb="FFEBF1DE"/>
      <color rgb="FFC4D79B"/>
      <color rgb="FFE4DFE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431AE4DE-768C-4D57-94EE-4D959E306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361950"/>
          <a:ext cx="0" cy="542925"/>
        </a:xfrm>
        <a:prstGeom prst="rect">
          <a:avLst/>
        </a:prstGeom>
      </xdr:spPr>
    </xdr:pic>
    <xdr:clientData/>
  </xdr:twoCellAnchor>
  <xdr:twoCellAnchor editAs="oneCell">
    <xdr:from>
      <xdr:col>10</xdr:col>
      <xdr:colOff>355600</xdr:colOff>
      <xdr:row>0</xdr:row>
      <xdr:rowOff>0</xdr:rowOff>
    </xdr:from>
    <xdr:to>
      <xdr:col>12</xdr:col>
      <xdr:colOff>0</xdr:colOff>
      <xdr:row>2</xdr:row>
      <xdr:rowOff>111126</xdr:rowOff>
    </xdr:to>
    <xdr:pic>
      <xdr:nvPicPr>
        <xdr:cNvPr id="8" name="Picture 7">
          <a:extLst>
            <a:ext uri="{FF2B5EF4-FFF2-40B4-BE49-F238E27FC236}">
              <a16:creationId xmlns:a16="http://schemas.microsoft.com/office/drawing/2014/main" id="{235C8A21-11AE-46FA-AC35-E1E9D8FD9EDD}"/>
            </a:ext>
          </a:extLst>
        </xdr:cNvPr>
        <xdr:cNvPicPr>
          <a:picLocks noChangeAspect="1"/>
        </xdr:cNvPicPr>
      </xdr:nvPicPr>
      <xdr:blipFill rotWithShape="1">
        <a:blip xmlns:r="http://schemas.openxmlformats.org/officeDocument/2006/relationships" r:embed="rId2"/>
        <a:srcRect l="2122" t="11760" r="2122" b="10205"/>
        <a:stretch/>
      </xdr:blipFill>
      <xdr:spPr>
        <a:xfrm>
          <a:off x="9620250" y="0"/>
          <a:ext cx="16510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417CD08-02B5-4EDC-AB7D-A567CE702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A595B6B-A6B1-4AC5-800A-BF66C562F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C28A2D7-4C43-4696-AA97-43D47D9A41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F3A9EBA-AE4A-4D1F-95D5-945B9A368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182880"/>
          <a:ext cx="0" cy="73152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254C2D-61EE-4010-80D5-F4F4B5C6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365760"/>
          <a:ext cx="0" cy="54864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A1A01E3-624E-4F2B-AD5F-F5AF72B94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182880"/>
          <a:ext cx="0" cy="7315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4C7C55A-C696-4615-8397-B58674F80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4726F2-F538-49A4-8AA0-BCC90525A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048A12E-35E6-42A9-9963-484D2BD652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3300" y="2194560"/>
          <a:ext cx="0" cy="182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5718619-F0F4-4DFF-923A-50D2517F4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A8945B3-7E82-4292-BA1D-19C12440CA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6379716-7559-4618-A988-14495A841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2E489D9-15C6-4A05-A4B4-B7036FBA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B5991B1-87B5-494D-ACB0-172562052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65C7C65-B2AA-41A5-9A8C-1594FC8C3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DE7C4D48-ADF8-4041-9FA7-51B1D36B2AF6}"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8:46.26" personId="{DE7C4D48-ADF8-4041-9FA7-51B1D36B2AF6}" id="{3ABFD759-CBF6-454B-81A1-FBF4BE51809E}">
    <text>Hide EN and FR columns
TRIB &gt; Hide R/C</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bsa-asfc.gc.ca/sima-lmsi/i-e/ubc2026/ubc2026-in-fra.html" TargetMode="External"/><Relationship Id="rId1" Type="http://schemas.openxmlformats.org/officeDocument/2006/relationships/hyperlink" Target="https://www.cbsa-asfc.gc.ca/sima-lmsi/i-e/ubc2026/ubc2026-in-eng.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777-DDFA-49B8-B28C-109D8B262657}">
  <sheetPr>
    <tabColor rgb="FFFFC000"/>
  </sheetPr>
  <dimension ref="A1:N67"/>
  <sheetViews>
    <sheetView showGridLines="0" workbookViewId="0"/>
  </sheetViews>
  <sheetFormatPr defaultColWidth="9.08984375" defaultRowHeight="14" x14ac:dyDescent="0.35"/>
  <cols>
    <col min="1" max="1" width="24.453125" style="164" bestFit="1" customWidth="1"/>
    <col min="2" max="2" width="23.90625" style="152" customWidth="1"/>
    <col min="3" max="3" width="26" style="152" customWidth="1"/>
    <col min="4" max="4" width="12.453125" style="152" bestFit="1" customWidth="1"/>
    <col min="5" max="5" width="9.08984375" style="152"/>
    <col min="6" max="6" width="9.08984375" style="152" customWidth="1"/>
    <col min="7" max="16384" width="9.08984375" style="152"/>
  </cols>
  <sheetData>
    <row r="1" spans="1:11" s="195" customFormat="1" x14ac:dyDescent="0.35">
      <c r="A1" s="195" t="s">
        <v>170</v>
      </c>
      <c r="B1" s="195" t="s">
        <v>164</v>
      </c>
      <c r="C1" s="195" t="s">
        <v>171</v>
      </c>
      <c r="F1" s="195" t="s">
        <v>330</v>
      </c>
    </row>
    <row r="2" spans="1:11" x14ac:dyDescent="0.35">
      <c r="A2" s="164" t="s">
        <v>172</v>
      </c>
      <c r="B2" s="152" t="s">
        <v>1031</v>
      </c>
      <c r="C2" s="152" t="str">
        <f>B2</f>
        <v>NQ-2026-003</v>
      </c>
      <c r="F2" s="152" t="s">
        <v>429</v>
      </c>
    </row>
    <row r="3" spans="1:11" x14ac:dyDescent="0.35">
      <c r="A3" s="164" t="s">
        <v>173</v>
      </c>
      <c r="B3" s="152" t="s">
        <v>851</v>
      </c>
      <c r="C3" s="196" t="s">
        <v>852</v>
      </c>
      <c r="F3" s="152" t="s">
        <v>561</v>
      </c>
    </row>
    <row r="4" spans="1:11" x14ac:dyDescent="0.35">
      <c r="A4" s="164" t="s">
        <v>357</v>
      </c>
      <c r="B4" s="152" t="s">
        <v>824</v>
      </c>
      <c r="C4" s="277" t="s">
        <v>825</v>
      </c>
      <c r="F4" s="152" t="s">
        <v>562</v>
      </c>
    </row>
    <row r="5" spans="1:11" ht="28" x14ac:dyDescent="0.35">
      <c r="A5" s="192" t="s">
        <v>601</v>
      </c>
      <c r="B5" s="152" t="s">
        <v>813</v>
      </c>
      <c r="C5" s="152" t="s">
        <v>814</v>
      </c>
      <c r="D5" s="152" t="s">
        <v>683</v>
      </c>
    </row>
    <row r="6" spans="1:11" x14ac:dyDescent="0.35">
      <c r="A6" s="165" t="s">
        <v>570</v>
      </c>
      <c r="B6" s="166">
        <v>2023</v>
      </c>
      <c r="C6" s="166">
        <v>2023</v>
      </c>
      <c r="F6" s="194" t="s">
        <v>617</v>
      </c>
    </row>
    <row r="7" spans="1:11" x14ac:dyDescent="0.35">
      <c r="A7" s="165" t="s">
        <v>571</v>
      </c>
      <c r="B7" s="168" t="s">
        <v>1027</v>
      </c>
      <c r="C7" s="274" t="s">
        <v>1028</v>
      </c>
      <c r="F7" s="152" t="s">
        <v>711</v>
      </c>
    </row>
    <row r="8" spans="1:11" x14ac:dyDescent="0.35">
      <c r="A8" s="165" t="s">
        <v>572</v>
      </c>
      <c r="B8" s="166">
        <v>2026</v>
      </c>
      <c r="C8" s="166">
        <f>B8</f>
        <v>2026</v>
      </c>
      <c r="F8" s="152" t="s">
        <v>712</v>
      </c>
    </row>
    <row r="9" spans="1:11" x14ac:dyDescent="0.35">
      <c r="A9" s="164" t="s">
        <v>563</v>
      </c>
      <c r="B9" s="152" t="s">
        <v>815</v>
      </c>
      <c r="C9" s="152" t="s">
        <v>816</v>
      </c>
      <c r="F9" s="166" t="s">
        <v>618</v>
      </c>
    </row>
    <row r="10" spans="1:11" x14ac:dyDescent="0.35">
      <c r="A10" s="164" t="s">
        <v>564</v>
      </c>
      <c r="B10" s="152" t="s">
        <v>817</v>
      </c>
      <c r="C10" s="152" t="s">
        <v>818</v>
      </c>
    </row>
    <row r="11" spans="1:11" x14ac:dyDescent="0.35">
      <c r="A11" s="164" t="s">
        <v>315</v>
      </c>
      <c r="B11" s="275" t="s">
        <v>853</v>
      </c>
      <c r="C11" s="168" t="s">
        <v>854</v>
      </c>
      <c r="I11" s="152" t="s">
        <v>794</v>
      </c>
      <c r="J11" s="152" t="s">
        <v>795</v>
      </c>
      <c r="K11" s="152" t="s">
        <v>796</v>
      </c>
    </row>
    <row r="12" spans="1:11" x14ac:dyDescent="0.35">
      <c r="I12" s="152" t="s">
        <v>782</v>
      </c>
      <c r="J12" s="152" t="s">
        <v>790</v>
      </c>
      <c r="K12" s="270" t="s">
        <v>790</v>
      </c>
    </row>
    <row r="13" spans="1:11" x14ac:dyDescent="0.35">
      <c r="A13" s="164" t="s">
        <v>603</v>
      </c>
      <c r="B13" s="152" t="s">
        <v>819</v>
      </c>
      <c r="C13" s="152" t="s">
        <v>820</v>
      </c>
      <c r="D13" s="196" t="s">
        <v>831</v>
      </c>
      <c r="I13" s="152" t="s">
        <v>783</v>
      </c>
      <c r="J13" s="152" t="s">
        <v>791</v>
      </c>
      <c r="K13" s="152" t="s">
        <v>790</v>
      </c>
    </row>
    <row r="14" spans="1:11" x14ac:dyDescent="0.35">
      <c r="A14" s="164" t="s">
        <v>604</v>
      </c>
      <c r="B14" s="152" t="s">
        <v>821</v>
      </c>
      <c r="C14" s="152" t="s">
        <v>822</v>
      </c>
      <c r="D14" s="152" t="s">
        <v>832</v>
      </c>
      <c r="I14" s="152" t="s">
        <v>784</v>
      </c>
      <c r="J14" s="152" t="s">
        <v>792</v>
      </c>
      <c r="K14" s="152" t="s">
        <v>790</v>
      </c>
    </row>
    <row r="15" spans="1:11" x14ac:dyDescent="0.35">
      <c r="A15" s="164" t="s">
        <v>1036</v>
      </c>
      <c r="B15" s="2" t="s">
        <v>1035</v>
      </c>
      <c r="C15" s="2" t="s">
        <v>1034</v>
      </c>
      <c r="D15" s="152" t="s">
        <v>1037</v>
      </c>
      <c r="I15" s="152" t="s">
        <v>785</v>
      </c>
      <c r="J15" s="152" t="s">
        <v>793</v>
      </c>
      <c r="K15" s="152" t="s">
        <v>793</v>
      </c>
    </row>
    <row r="16" spans="1:11" x14ac:dyDescent="0.35">
      <c r="A16" s="164" t="s">
        <v>317</v>
      </c>
      <c r="B16" s="152" t="s">
        <v>1029</v>
      </c>
      <c r="C16" s="152" t="s">
        <v>1030</v>
      </c>
      <c r="I16" s="152" t="s">
        <v>786</v>
      </c>
      <c r="J16" s="152" t="s">
        <v>782</v>
      </c>
      <c r="K16" s="152" t="s">
        <v>793</v>
      </c>
    </row>
    <row r="17" spans="1:11" ht="14.5" x14ac:dyDescent="0.35">
      <c r="A17" s="193" t="s">
        <v>602</v>
      </c>
      <c r="B17" s="276" t="s">
        <v>823</v>
      </c>
      <c r="C17" s="276" t="s">
        <v>845</v>
      </c>
      <c r="I17" s="152" t="s">
        <v>787</v>
      </c>
      <c r="J17" s="152" t="s">
        <v>783</v>
      </c>
      <c r="K17" s="152" t="s">
        <v>793</v>
      </c>
    </row>
    <row r="18" spans="1:11" x14ac:dyDescent="0.35">
      <c r="I18" s="152" t="s">
        <v>788</v>
      </c>
      <c r="J18" s="152" t="s">
        <v>784</v>
      </c>
      <c r="K18" s="152" t="s">
        <v>784</v>
      </c>
    </row>
    <row r="19" spans="1:11" x14ac:dyDescent="0.35">
      <c r="A19" s="164" t="s">
        <v>325</v>
      </c>
      <c r="B19" s="168" t="s">
        <v>569</v>
      </c>
      <c r="C19" s="168" t="s">
        <v>569</v>
      </c>
      <c r="I19" s="152" t="s">
        <v>789</v>
      </c>
      <c r="J19" s="152" t="s">
        <v>785</v>
      </c>
      <c r="K19" s="152" t="s">
        <v>784</v>
      </c>
    </row>
    <row r="20" spans="1:11" x14ac:dyDescent="0.35">
      <c r="A20" s="164" t="s">
        <v>326</v>
      </c>
      <c r="B20" s="166" t="s">
        <v>826</v>
      </c>
      <c r="C20" s="166" t="str">
        <f>B20</f>
        <v>8544.49.00.19 • 8544.49.00.90 • 7408.11.10.00 • 7408.19.00.10 • 7605.29.00.00 • 7614.90.00.00</v>
      </c>
      <c r="I20" s="152" t="s">
        <v>790</v>
      </c>
      <c r="J20" s="152" t="s">
        <v>786</v>
      </c>
      <c r="K20" s="152" t="s">
        <v>784</v>
      </c>
    </row>
    <row r="21" spans="1:11" x14ac:dyDescent="0.35">
      <c r="A21" s="164" t="s">
        <v>327</v>
      </c>
      <c r="B21" s="168" t="s">
        <v>568</v>
      </c>
      <c r="I21" s="152" t="s">
        <v>791</v>
      </c>
      <c r="J21" s="152" t="s">
        <v>787</v>
      </c>
      <c r="K21" s="152" t="s">
        <v>787</v>
      </c>
    </row>
    <row r="22" spans="1:11" x14ac:dyDescent="0.35">
      <c r="I22" s="152" t="s">
        <v>792</v>
      </c>
      <c r="J22" s="152" t="s">
        <v>788</v>
      </c>
      <c r="K22" s="152" t="s">
        <v>787</v>
      </c>
    </row>
    <row r="23" spans="1:11" x14ac:dyDescent="0.35">
      <c r="A23" s="164" t="s">
        <v>605</v>
      </c>
      <c r="B23" s="2" t="s">
        <v>827</v>
      </c>
      <c r="C23" s="2" t="s">
        <v>828</v>
      </c>
      <c r="I23" s="152" t="s">
        <v>793</v>
      </c>
      <c r="J23" s="152" t="s">
        <v>789</v>
      </c>
      <c r="K23" s="152" t="s">
        <v>787</v>
      </c>
    </row>
    <row r="24" spans="1:11" x14ac:dyDescent="0.35">
      <c r="A24" s="164" t="s">
        <v>606</v>
      </c>
      <c r="B24" s="2" t="s">
        <v>829</v>
      </c>
      <c r="C24" s="2" t="s">
        <v>830</v>
      </c>
    </row>
    <row r="26" spans="1:11" x14ac:dyDescent="0.35">
      <c r="A26" s="164" t="s">
        <v>193</v>
      </c>
      <c r="B26" s="2" t="s">
        <v>607</v>
      </c>
      <c r="C26" s="2" t="s">
        <v>608</v>
      </c>
    </row>
    <row r="27" spans="1:11" x14ac:dyDescent="0.35">
      <c r="A27" s="164" t="s">
        <v>567</v>
      </c>
      <c r="B27" s="2" t="s">
        <v>841</v>
      </c>
      <c r="C27" s="2" t="s">
        <v>842</v>
      </c>
    </row>
    <row r="29" spans="1:11" x14ac:dyDescent="0.35">
      <c r="A29" s="164" t="s">
        <v>609</v>
      </c>
      <c r="B29" s="152" t="s">
        <v>855</v>
      </c>
      <c r="C29" s="152" t="s">
        <v>861</v>
      </c>
    </row>
    <row r="30" spans="1:11" ht="15" customHeight="1" x14ac:dyDescent="0.35">
      <c r="A30" s="164" t="s">
        <v>610</v>
      </c>
      <c r="B30" s="152" t="s">
        <v>856</v>
      </c>
      <c r="C30" s="152" t="s">
        <v>862</v>
      </c>
    </row>
    <row r="31" spans="1:11" ht="15" customHeight="1" x14ac:dyDescent="0.35">
      <c r="A31" s="164" t="s">
        <v>611</v>
      </c>
      <c r="B31" s="152" t="s">
        <v>857</v>
      </c>
      <c r="C31" s="152" t="s">
        <v>863</v>
      </c>
    </row>
    <row r="32" spans="1:11" ht="15" customHeight="1" x14ac:dyDescent="0.35">
      <c r="A32" s="164" t="s">
        <v>612</v>
      </c>
      <c r="B32" s="152" t="s">
        <v>858</v>
      </c>
      <c r="C32" s="152" t="s">
        <v>864</v>
      </c>
    </row>
    <row r="33" spans="1:14" ht="15" customHeight="1" x14ac:dyDescent="0.35">
      <c r="A33" s="164" t="s">
        <v>613</v>
      </c>
      <c r="B33" s="152" t="s">
        <v>859</v>
      </c>
      <c r="C33" s="152" t="s">
        <v>865</v>
      </c>
    </row>
    <row r="34" spans="1:14" ht="15" customHeight="1" x14ac:dyDescent="0.35">
      <c r="A34" s="164" t="s">
        <v>614</v>
      </c>
      <c r="B34" s="152" t="s">
        <v>860</v>
      </c>
      <c r="C34" s="152" t="s">
        <v>866</v>
      </c>
    </row>
    <row r="35" spans="1:14" ht="15" customHeight="1" x14ac:dyDescent="0.35">
      <c r="A35" s="164" t="s">
        <v>615</v>
      </c>
      <c r="C35" s="2"/>
    </row>
    <row r="36" spans="1:14" ht="15" customHeight="1" x14ac:dyDescent="0.35">
      <c r="A36" s="164" t="s">
        <v>616</v>
      </c>
      <c r="C36" s="2"/>
    </row>
    <row r="37" spans="1:14" ht="15" customHeight="1" x14ac:dyDescent="0.35">
      <c r="B37" s="2"/>
      <c r="C37" s="2"/>
    </row>
    <row r="38" spans="1:14" x14ac:dyDescent="0.35">
      <c r="A38" s="165" t="s">
        <v>770</v>
      </c>
      <c r="B38" s="166">
        <v>1</v>
      </c>
      <c r="C38" s="166">
        <f>B38</f>
        <v>1</v>
      </c>
    </row>
    <row r="39" spans="1:14" ht="15" customHeight="1" x14ac:dyDescent="0.35">
      <c r="A39" s="164" t="s">
        <v>762</v>
      </c>
      <c r="B39" s="2" t="str">
        <f t="shared" ref="B39:B44" si="0">IF(MID(B40,2,1)&lt;&gt;"1","Q"&amp;MID(B40,2,1)-1&amp;" - "&amp;MID(B40,6,4),"Q4 - "&amp;MID(B40,6,4)-1)</f>
        <v>Q2 - 2024</v>
      </c>
      <c r="C39" s="2" t="str">
        <f t="shared" ref="C39:C44" si="1">IF(MID(C40,2,1)&lt;&gt;"1","T"&amp;MID(C40,2,1)-1&amp;" - "&amp;MID(C40,6,4),"T4 - "&amp;MID(C40,6,4)-1)</f>
        <v>T2 - 2024</v>
      </c>
    </row>
    <row r="40" spans="1:14" ht="15" customHeight="1" x14ac:dyDescent="0.35">
      <c r="A40" s="164" t="s">
        <v>763</v>
      </c>
      <c r="B40" s="2" t="str">
        <f t="shared" si="0"/>
        <v>Q3 - 2024</v>
      </c>
      <c r="C40" s="2" t="str">
        <f t="shared" si="1"/>
        <v>T3 - 2024</v>
      </c>
      <c r="F40" s="191">
        <v>1</v>
      </c>
      <c r="G40" s="191">
        <v>2</v>
      </c>
      <c r="H40" s="191">
        <v>3</v>
      </c>
      <c r="I40" s="191">
        <v>4</v>
      </c>
      <c r="J40" s="191">
        <v>5</v>
      </c>
      <c r="K40" s="191">
        <v>6</v>
      </c>
      <c r="L40" s="191">
        <v>7</v>
      </c>
      <c r="M40" s="191">
        <v>8</v>
      </c>
    </row>
    <row r="41" spans="1:14" ht="15" customHeight="1" x14ac:dyDescent="0.35">
      <c r="A41" s="164" t="s">
        <v>764</v>
      </c>
      <c r="B41" s="2" t="str">
        <f t="shared" si="0"/>
        <v>Q4 - 2024</v>
      </c>
      <c r="C41" s="2" t="str">
        <f t="shared" si="1"/>
        <v>T4 - 2024</v>
      </c>
      <c r="F41" s="267" t="s">
        <v>775</v>
      </c>
      <c r="G41" s="267" t="s">
        <v>776</v>
      </c>
      <c r="H41" s="267" t="s">
        <v>777</v>
      </c>
      <c r="I41" s="269" t="s">
        <v>774</v>
      </c>
      <c r="J41" s="269" t="s">
        <v>775</v>
      </c>
      <c r="K41" s="269" t="s">
        <v>776</v>
      </c>
      <c r="L41" s="269" t="s">
        <v>777</v>
      </c>
      <c r="M41" s="269" t="s">
        <v>774</v>
      </c>
      <c r="N41" s="152" t="s">
        <v>778</v>
      </c>
    </row>
    <row r="42" spans="1:14" ht="15" customHeight="1" x14ac:dyDescent="0.35">
      <c r="A42" s="164" t="s">
        <v>765</v>
      </c>
      <c r="B42" s="2" t="str">
        <f t="shared" si="0"/>
        <v>Q1 - 2025</v>
      </c>
      <c r="C42" s="2" t="str">
        <f t="shared" si="1"/>
        <v>T1 - 2025</v>
      </c>
      <c r="F42" s="267" t="s">
        <v>776</v>
      </c>
      <c r="G42" s="267" t="s">
        <v>777</v>
      </c>
      <c r="H42" s="269" t="s">
        <v>774</v>
      </c>
      <c r="I42" s="269" t="s">
        <v>775</v>
      </c>
      <c r="J42" s="269" t="s">
        <v>776</v>
      </c>
      <c r="K42" s="269" t="s">
        <v>777</v>
      </c>
      <c r="L42" s="268" t="s">
        <v>774</v>
      </c>
      <c r="M42" s="268" t="s">
        <v>775</v>
      </c>
      <c r="N42" s="152" t="s">
        <v>779</v>
      </c>
    </row>
    <row r="43" spans="1:14" ht="15" customHeight="1" x14ac:dyDescent="0.35">
      <c r="A43" s="164" t="s">
        <v>766</v>
      </c>
      <c r="B43" s="2" t="str">
        <f t="shared" si="0"/>
        <v>Q2 - 2025</v>
      </c>
      <c r="C43" s="2" t="str">
        <f t="shared" si="1"/>
        <v>T2 - 2025</v>
      </c>
      <c r="F43" s="267" t="s">
        <v>777</v>
      </c>
      <c r="G43" s="269" t="s">
        <v>774</v>
      </c>
      <c r="H43" s="269" t="s">
        <v>775</v>
      </c>
      <c r="I43" s="269" t="s">
        <v>776</v>
      </c>
      <c r="J43" s="269" t="s">
        <v>777</v>
      </c>
      <c r="K43" s="268" t="s">
        <v>774</v>
      </c>
      <c r="L43" s="268" t="s">
        <v>775</v>
      </c>
      <c r="M43" s="268" t="s">
        <v>776</v>
      </c>
      <c r="N43" s="152" t="s">
        <v>780</v>
      </c>
    </row>
    <row r="44" spans="1:14" ht="15" customHeight="1" x14ac:dyDescent="0.35">
      <c r="A44" s="164" t="s">
        <v>767</v>
      </c>
      <c r="B44" s="2" t="str">
        <f t="shared" si="0"/>
        <v>Q3 - 2025</v>
      </c>
      <c r="C44" s="2" t="str">
        <f t="shared" si="1"/>
        <v>T3 - 2025</v>
      </c>
      <c r="F44" s="269" t="s">
        <v>774</v>
      </c>
      <c r="G44" s="269" t="s">
        <v>775</v>
      </c>
      <c r="H44" s="269" t="s">
        <v>776</v>
      </c>
      <c r="I44" s="269" t="s">
        <v>777</v>
      </c>
      <c r="J44" s="268" t="s">
        <v>774</v>
      </c>
      <c r="K44" s="268" t="s">
        <v>775</v>
      </c>
      <c r="L44" s="268" t="s">
        <v>776</v>
      </c>
      <c r="M44" s="268" t="s">
        <v>777</v>
      </c>
      <c r="N44" s="152" t="s">
        <v>781</v>
      </c>
    </row>
    <row r="45" spans="1:14" ht="15" customHeight="1" x14ac:dyDescent="0.35">
      <c r="A45" s="164" t="s">
        <v>768</v>
      </c>
      <c r="B45" s="2" t="str">
        <f>IF(MID(B46,2,1)&lt;&gt;"1","Q"&amp;MID(B46,2,1)-1&amp;" - "&amp;MID(B46,6,4),"Q4 - "&amp;MID(B46,6,4)-1)</f>
        <v>Q4 - 2025</v>
      </c>
      <c r="C45" s="2" t="str">
        <f>IF(MID(C46,2,1)&lt;&gt;"1","T"&amp;MID(C46,2,1)-1&amp;" - "&amp;MID(C46,6,4),"T4 - "&amp;MID(C46,6,4)-1)</f>
        <v>T4 - 2025</v>
      </c>
    </row>
    <row r="46" spans="1:14" ht="15" customHeight="1" x14ac:dyDescent="0.35">
      <c r="A46" s="164" t="s">
        <v>769</v>
      </c>
      <c r="B46" s="2" t="str">
        <f>"Q"&amp;B38&amp;" - "&amp;B8</f>
        <v>Q1 - 2026</v>
      </c>
      <c r="C46" s="2" t="str">
        <f>"T"&amp;C38&amp;" - "&amp;C8</f>
        <v>T1 - 2026</v>
      </c>
    </row>
    <row r="47" spans="1:14" ht="15" customHeight="1" x14ac:dyDescent="0.35">
      <c r="B47" s="2"/>
      <c r="C47" s="2"/>
    </row>
    <row r="48" spans="1:14" ht="15" customHeight="1" x14ac:dyDescent="0.35">
      <c r="A48" s="164" t="s">
        <v>771</v>
      </c>
      <c r="B48" s="2" t="str">
        <f>IF(B38=1,"Q1 "&amp;B8&amp;" &lt;= Jan-Mar "&amp;B8,IF(B38=2,"Q1-Q2 "&amp;B8&amp;" &lt;= Jan-Jun "&amp;B8,IF(B38=3,"Q1-Q3 "&amp;B8&amp;" &lt;= Jan-Sept "&amp;B8,"Q1-Q3 "&amp;B8&amp;" &lt;= "&amp;B8)))</f>
        <v>Q1 2026 &lt;= Jan-Mar 2026</v>
      </c>
      <c r="C48" s="2" t="str">
        <f>IF(C38=1,"T1 "&amp;B8&amp;" &lt;= jan-mars "&amp;C8,IF(C38=2,"T1-T2 "&amp;B8&amp;" &lt;= jan-juin "&amp;B8,IF(C38=3,"T1-T3 "&amp;B8&amp;" &lt;= jan-sep "&amp;B8,"Q1-Q3 "&amp;B8&amp;" &lt;= "&amp;B8)))</f>
        <v>T1 2026 &lt;= jan-mars 2026</v>
      </c>
    </row>
    <row r="49" spans="1:4" ht="15" customHeight="1" x14ac:dyDescent="0.35">
      <c r="A49" s="164" t="s">
        <v>772</v>
      </c>
      <c r="B49" s="2" t="str">
        <f>"Q1-Q4 "&amp;B8-1&amp;" &lt;= "&amp;B8-1</f>
        <v>Q1-Q4 2025 &lt;= 2025</v>
      </c>
      <c r="C49" s="2" t="str">
        <f>"T1-T4 "&amp;B8-1&amp;" &lt;= "&amp;B8-1</f>
        <v>T1-T4 2025 &lt;= 2025</v>
      </c>
    </row>
    <row r="50" spans="1:4" ht="15" customHeight="1" x14ac:dyDescent="0.35">
      <c r="A50" s="164" t="s">
        <v>773</v>
      </c>
      <c r="B50" s="2" t="str">
        <f>IF(B38=1,"Q2-Q4 "&amp;B8-2&amp;" &lt;= "&amp;B8-2,IF(B38=2,"Q3-Q4 "&amp;B8-2&amp;" &lt;= "&amp;B8-2,IF(B38=3,"Q4 "&amp;B8-2&amp;" &lt;= "&amp;B8-2,"N/A Remove column")))</f>
        <v>Q2-Q4 2024 &lt;= 2024</v>
      </c>
      <c r="C50" s="2" t="str">
        <f>IF(B38=1,"T2-T4 "&amp;B8-2&amp;" &lt;= "&amp;B8-2,IF(B38=2,"T3-T4 "&amp;B8-2&amp;" &lt;= "&amp;B8-2,IF(B38=3,"T4 "&amp;B8-2&amp;" &lt;= "&amp;B8-2,"N/A Remove column")))</f>
        <v>T2-T4 2024 &lt;= 2024</v>
      </c>
    </row>
    <row r="51" spans="1:4" ht="15" customHeight="1" x14ac:dyDescent="0.35"/>
    <row r="52" spans="1:4" ht="15" customHeight="1" x14ac:dyDescent="0.35">
      <c r="A52" s="675" t="s">
        <v>673</v>
      </c>
      <c r="B52" s="675"/>
      <c r="C52" s="675"/>
      <c r="D52" s="675"/>
    </row>
    <row r="53" spans="1:4" ht="15" customHeight="1" x14ac:dyDescent="0.35">
      <c r="A53" s="221"/>
      <c r="B53" s="222"/>
      <c r="C53" s="222"/>
      <c r="D53" s="222"/>
    </row>
    <row r="54" spans="1:4" x14ac:dyDescent="0.35">
      <c r="A54" s="164" t="s">
        <v>677</v>
      </c>
      <c r="B54" s="152" t="s">
        <v>669</v>
      </c>
      <c r="C54" s="152" t="s">
        <v>671</v>
      </c>
      <c r="D54" s="165" t="str">
        <f>IF(Intro!G21="english",B54,C54)</f>
        <v>Oui</v>
      </c>
    </row>
    <row r="55" spans="1:4" x14ac:dyDescent="0.35">
      <c r="B55" s="152" t="s">
        <v>670</v>
      </c>
      <c r="C55" s="152" t="s">
        <v>672</v>
      </c>
      <c r="D55" s="165" t="str">
        <f>IF(Intro!G21="english",B55,C55)</f>
        <v>Non</v>
      </c>
    </row>
    <row r="57" spans="1:4" x14ac:dyDescent="0.35">
      <c r="A57" s="164" t="s">
        <v>709</v>
      </c>
      <c r="B57" s="2" t="s">
        <v>670</v>
      </c>
      <c r="C57" s="2" t="s">
        <v>672</v>
      </c>
      <c r="D57" s="165" t="str">
        <f>IF(Intro!G$21="english",B57,C57)</f>
        <v>Non</v>
      </c>
    </row>
    <row r="58" spans="1:4" x14ac:dyDescent="0.35">
      <c r="B58" s="2" t="s">
        <v>710</v>
      </c>
      <c r="C58" s="2" t="s">
        <v>840</v>
      </c>
      <c r="D58" s="165" t="str">
        <f>IF(Intro!G$21="english",B58,C58)</f>
        <v>Oui, modifiez les données ou expliquez ci-dessous.</v>
      </c>
    </row>
    <row r="60" spans="1:4" ht="14.4" customHeight="1" x14ac:dyDescent="0.35">
      <c r="A60" s="676" t="s">
        <v>742</v>
      </c>
      <c r="B60" s="676"/>
      <c r="C60" s="676"/>
      <c r="D60" s="676"/>
    </row>
    <row r="61" spans="1:4" x14ac:dyDescent="0.35">
      <c r="A61" s="165" t="s">
        <v>741</v>
      </c>
      <c r="B61" s="2" t="s">
        <v>731</v>
      </c>
      <c r="C61" s="2" t="s">
        <v>732</v>
      </c>
      <c r="D61" s="165" t="str">
        <f>IF(Intro!$G$21="English",B61,C61)</f>
        <v>Vérification - volume</v>
      </c>
    </row>
    <row r="62" spans="1:4" x14ac:dyDescent="0.35">
      <c r="A62" s="165"/>
      <c r="B62" s="2" t="s">
        <v>737</v>
      </c>
      <c r="C62" s="2" t="s">
        <v>738</v>
      </c>
      <c r="D62" s="165" t="str">
        <f>IF(Intro!$G$21="English",B62,C62)</f>
        <v>Erreur</v>
      </c>
    </row>
    <row r="63" spans="1:4" x14ac:dyDescent="0.35">
      <c r="B63" s="2" t="s">
        <v>739</v>
      </c>
      <c r="C63" s="2" t="s">
        <v>740</v>
      </c>
      <c r="D63" s="165" t="str">
        <f>IF(Intro!$G$21="English",B63,C63)</f>
        <v>Correct</v>
      </c>
    </row>
    <row r="64" spans="1:4" x14ac:dyDescent="0.35">
      <c r="B64" s="2"/>
      <c r="C64" s="2"/>
      <c r="D64" s="2"/>
    </row>
    <row r="65" spans="2:4" x14ac:dyDescent="0.35">
      <c r="B65" s="2" t="s">
        <v>733</v>
      </c>
      <c r="C65" s="2" t="s">
        <v>734</v>
      </c>
      <c r="D65" s="165" t="str">
        <f>IF(Intro!$G$21="English",B65,C65)</f>
        <v>Vérification - valeur</v>
      </c>
    </row>
    <row r="66" spans="2:4" x14ac:dyDescent="0.35">
      <c r="B66" s="2" t="s">
        <v>737</v>
      </c>
      <c r="C66" s="2" t="s">
        <v>738</v>
      </c>
      <c r="D66" s="165" t="str">
        <f>IF(Intro!$G$21="English",B66,C66)</f>
        <v>Erreur</v>
      </c>
    </row>
    <row r="67" spans="2:4" x14ac:dyDescent="0.35">
      <c r="B67" s="2" t="s">
        <v>739</v>
      </c>
      <c r="C67" s="2" t="s">
        <v>740</v>
      </c>
      <c r="D67" s="165" t="str">
        <f>IF(Intro!$G$21="English",B67,C67)</f>
        <v>Correct</v>
      </c>
    </row>
  </sheetData>
  <sheetProtection algorithmName="SHA-512" hashValue="7nTfvYysQHXipLzu9+cFUuc2Turl0sxLQwGd7wx/f1Fa+/jTI6leAw3ba45u70CeXa9ToJ5Q7d+c7OpK21/YxQ==" saltValue="lHPVk3LhmT/+UfmSAdQfbQ==" spinCount="100000" sheet="1" objects="1" scenarios="1" selectLockedCells="1"/>
  <sortState xmlns:xlrd2="http://schemas.microsoft.com/office/spreadsheetml/2017/richdata2" ref="D29:D36">
    <sortCondition ref="D29:D36"/>
  </sortState>
  <mergeCells count="2">
    <mergeCell ref="A52:D52"/>
    <mergeCell ref="A60:D60"/>
  </mergeCells>
  <phoneticPr fontId="18" type="noConversion"/>
  <dataValidations disablePrompts="1" count="1">
    <dataValidation type="list" allowBlank="1" showInputMessage="1" showErrorMessage="1" sqref="B4" xr:uid="{6F0AE9BB-BD51-4AE6-9BFD-F57F8A7983D0}">
      <formula1>"dumping, dumping and the subsidizing"</formula1>
    </dataValidation>
  </dataValidations>
  <hyperlinks>
    <hyperlink ref="B17" r:id="rId1" location="3-2" xr:uid="{86B85489-6D67-47B5-9BE6-545BC91DAA73}"/>
    <hyperlink ref="C17" r:id="rId2" location="3-2" xr:uid="{E4D62335-EB38-410E-92C9-1717C1E5ADCA}"/>
  </hyperlinks>
  <pageMargins left="0.7" right="0.7" top="0.75" bottom="0.75" header="0.3" footer="0.3"/>
  <pageSetup orientation="portrait"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293-F3A3-400D-8260-F48FC5710383}">
  <sheetPr>
    <tabColor rgb="FF92D050"/>
    <pageSetUpPr fitToPage="1"/>
  </sheetPr>
  <dimension ref="A1:P57"/>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7" width="9.08984375" style="2" customWidth="1"/>
    <col min="18" max="16384" width="9.08984375" style="2"/>
  </cols>
  <sheetData>
    <row r="1" spans="1:16" x14ac:dyDescent="0.35">
      <c r="O1" s="2" t="s">
        <v>715</v>
      </c>
      <c r="P1" s="2" t="s">
        <v>715</v>
      </c>
    </row>
    <row r="2" spans="1:16" x14ac:dyDescent="0.35">
      <c r="B2" s="20" t="str">
        <f>UPPER(IF(Intro!$G$21="English",O3,P3))</f>
        <v>PROTÉGÉ</v>
      </c>
      <c r="O2" s="3" t="s">
        <v>164</v>
      </c>
      <c r="P2" s="3" t="s">
        <v>165</v>
      </c>
    </row>
    <row r="3" spans="1:16" x14ac:dyDescent="0.35">
      <c r="B3" s="21"/>
      <c r="O3" s="8" t="s">
        <v>167</v>
      </c>
      <c r="P3" s="8" t="s">
        <v>166</v>
      </c>
    </row>
    <row r="4" spans="1:16" s="8" customFormat="1" x14ac:dyDescent="0.35">
      <c r="A4" s="13"/>
      <c r="B4" s="614" t="str">
        <f>Info!B4</f>
        <v>QUESTIONNAIRE À L’INTENTION DES PRODUCTEURS</v>
      </c>
      <c r="C4" s="615"/>
      <c r="D4" s="615"/>
      <c r="E4" s="615"/>
      <c r="F4" s="615"/>
      <c r="G4" s="615"/>
      <c r="H4" s="615"/>
      <c r="I4" s="615"/>
      <c r="J4" s="615"/>
      <c r="K4" s="615"/>
      <c r="L4" s="616"/>
      <c r="M4" s="15"/>
      <c r="N4" s="15"/>
      <c r="O4" s="14" t="s">
        <v>168</v>
      </c>
      <c r="P4" s="14" t="s">
        <v>169</v>
      </c>
    </row>
    <row r="5" spans="1:16" s="8" customFormat="1" x14ac:dyDescent="0.35">
      <c r="A5" s="13"/>
      <c r="B5" s="617" t="str">
        <f>Info!B5</f>
        <v>NQ-2026-003</v>
      </c>
      <c r="C5" s="618"/>
      <c r="D5" s="618"/>
      <c r="E5" s="618"/>
      <c r="F5" s="618"/>
      <c r="G5" s="618"/>
      <c r="H5" s="618"/>
      <c r="I5" s="618"/>
      <c r="J5" s="618"/>
      <c r="K5" s="618"/>
      <c r="L5" s="619"/>
      <c r="M5" s="15"/>
      <c r="N5" s="15"/>
      <c r="O5" s="14" t="str">
        <f>Variables!B2</f>
        <v>NQ-2026-003</v>
      </c>
      <c r="P5" s="14" t="str">
        <f>Variables!C2</f>
        <v>NQ-2026-003</v>
      </c>
    </row>
    <row r="6" spans="1:16" s="9" customFormat="1" x14ac:dyDescent="0.35">
      <c r="A6" s="13"/>
      <c r="B6" s="622" t="str">
        <f>Info!B6</f>
        <v>CÂBLES DE BÂTIMENTS NON ARMÉS</v>
      </c>
      <c r="C6" s="623"/>
      <c r="D6" s="623"/>
      <c r="E6" s="623"/>
      <c r="F6" s="623"/>
      <c r="G6" s="623"/>
      <c r="H6" s="623"/>
      <c r="I6" s="623"/>
      <c r="J6" s="623"/>
      <c r="K6" s="623"/>
      <c r="L6" s="624"/>
      <c r="M6" s="14"/>
      <c r="N6" s="14"/>
      <c r="O6" s="10" t="str">
        <f>Variables!B3</f>
        <v>unarmoured building cables</v>
      </c>
      <c r="P6" s="10" t="str">
        <f>Variables!C3</f>
        <v>câbles de bâtiments non armés</v>
      </c>
    </row>
    <row r="7" spans="1:16" s="9" customFormat="1" x14ac:dyDescent="0.35">
      <c r="A7" s="13"/>
      <c r="B7" s="22"/>
      <c r="C7" s="23"/>
      <c r="D7" s="23"/>
      <c r="E7" s="23"/>
      <c r="F7" s="23"/>
      <c r="G7" s="23"/>
      <c r="H7" s="23"/>
      <c r="I7" s="23"/>
      <c r="J7" s="23"/>
      <c r="K7" s="23"/>
      <c r="L7" s="23"/>
      <c r="O7" s="10"/>
      <c r="P7" s="10"/>
    </row>
    <row r="8" spans="1:16" x14ac:dyDescent="0.35">
      <c r="B8" s="599" t="str">
        <f>UPPER(IF(Intro!$G$21="English",O8,P8))</f>
        <v>COMMENTAIRES PROTÉGÉS</v>
      </c>
      <c r="C8" s="600"/>
      <c r="D8" s="600"/>
      <c r="E8" s="600"/>
      <c r="F8" s="600"/>
      <c r="G8" s="600"/>
      <c r="H8" s="600"/>
      <c r="I8" s="600"/>
      <c r="J8" s="600"/>
      <c r="K8" s="600"/>
      <c r="L8" s="601"/>
      <c r="M8" s="2"/>
      <c r="O8" s="2" t="s">
        <v>154</v>
      </c>
      <c r="P8" s="2" t="s">
        <v>426</v>
      </c>
    </row>
    <row r="9" spans="1:16" x14ac:dyDescent="0.35">
      <c r="B9" s="24"/>
      <c r="C9" s="26"/>
      <c r="D9" s="26"/>
      <c r="E9" s="26"/>
      <c r="F9" s="26"/>
      <c r="G9" s="26"/>
      <c r="H9" s="26"/>
      <c r="I9" s="26"/>
      <c r="J9" s="26"/>
      <c r="K9" s="26"/>
      <c r="L9" s="27"/>
      <c r="M9" s="2"/>
    </row>
    <row r="10" spans="1:16" x14ac:dyDescent="0.35">
      <c r="B10" s="602" t="str">
        <f>IF(Intro!$G$21="English",O10,P10)</f>
        <v>Si votre entreprise désire ajouter des commentaires concernant vos réponses, vous les inscrivez ici. Indiquez à quelle question se rapportent vos commentaires.</v>
      </c>
      <c r="C10" s="603"/>
      <c r="D10" s="603"/>
      <c r="E10" s="603"/>
      <c r="F10" s="603"/>
      <c r="G10" s="603"/>
      <c r="H10" s="603"/>
      <c r="I10" s="603"/>
      <c r="J10" s="603"/>
      <c r="K10" s="603"/>
      <c r="L10" s="604"/>
      <c r="M10" s="2"/>
      <c r="O10" s="11" t="s">
        <v>566</v>
      </c>
      <c r="P10" s="2" t="s">
        <v>407</v>
      </c>
    </row>
    <row r="11" spans="1:16" x14ac:dyDescent="0.35">
      <c r="B11" s="159"/>
      <c r="C11" s="25"/>
      <c r="D11" s="26"/>
      <c r="E11" s="26"/>
      <c r="F11" s="26"/>
      <c r="G11" s="26"/>
      <c r="H11" s="26"/>
      <c r="I11" s="26"/>
      <c r="J11" s="26"/>
      <c r="K11" s="26"/>
      <c r="L11" s="27"/>
      <c r="M11" s="2"/>
      <c r="O11" s="231" t="s">
        <v>701</v>
      </c>
      <c r="P11" s="231" t="s">
        <v>702</v>
      </c>
    </row>
    <row r="12" spans="1:16" ht="28" x14ac:dyDescent="0.35">
      <c r="B12" s="159"/>
      <c r="C12" s="271" t="str">
        <f>IF(Intro!$G$21="English",O11,P11)</f>
        <v>Onglet et question</v>
      </c>
      <c r="D12" s="751" t="str">
        <f>IF(Intro!$G$21="English",O12,P12)</f>
        <v>Commentaires</v>
      </c>
      <c r="E12" s="752"/>
      <c r="F12" s="752"/>
      <c r="G12" s="752"/>
      <c r="H12" s="752"/>
      <c r="I12" s="752"/>
      <c r="J12" s="752"/>
      <c r="K12" s="752"/>
      <c r="L12" s="753"/>
      <c r="M12" s="2"/>
      <c r="O12" s="11" t="s">
        <v>273</v>
      </c>
      <c r="P12" s="2" t="s">
        <v>274</v>
      </c>
    </row>
    <row r="13" spans="1:16" ht="14.25" customHeight="1" x14ac:dyDescent="0.35">
      <c r="B13" s="754" t="str">
        <f>IF(Intro!$G$21="English",O13,P13)</f>
        <v>Commentaire 1</v>
      </c>
      <c r="C13" s="757"/>
      <c r="D13" s="741"/>
      <c r="E13" s="742"/>
      <c r="F13" s="742"/>
      <c r="G13" s="742"/>
      <c r="H13" s="742"/>
      <c r="I13" s="742"/>
      <c r="J13" s="742"/>
      <c r="K13" s="742"/>
      <c r="L13" s="743"/>
      <c r="M13" s="2"/>
      <c r="O13" s="11" t="s">
        <v>275</v>
      </c>
      <c r="P13" s="2" t="s">
        <v>276</v>
      </c>
    </row>
    <row r="14" spans="1:16" x14ac:dyDescent="0.35">
      <c r="B14" s="755"/>
      <c r="C14" s="758"/>
      <c r="D14" s="744"/>
      <c r="E14" s="644"/>
      <c r="F14" s="644"/>
      <c r="G14" s="644"/>
      <c r="H14" s="644"/>
      <c r="I14" s="644"/>
      <c r="J14" s="644"/>
      <c r="K14" s="644"/>
      <c r="L14" s="645"/>
      <c r="M14" s="2"/>
    </row>
    <row r="15" spans="1:16" x14ac:dyDescent="0.35">
      <c r="B15" s="755"/>
      <c r="C15" s="758"/>
      <c r="D15" s="744"/>
      <c r="E15" s="644"/>
      <c r="F15" s="644"/>
      <c r="G15" s="644"/>
      <c r="H15" s="644"/>
      <c r="I15" s="644"/>
      <c r="J15" s="644"/>
      <c r="K15" s="644"/>
      <c r="L15" s="645"/>
      <c r="M15" s="2"/>
    </row>
    <row r="16" spans="1:16" x14ac:dyDescent="0.35">
      <c r="B16" s="755"/>
      <c r="C16" s="758"/>
      <c r="D16" s="744"/>
      <c r="E16" s="644"/>
      <c r="F16" s="644"/>
      <c r="G16" s="644"/>
      <c r="H16" s="644"/>
      <c r="I16" s="644"/>
      <c r="J16" s="644"/>
      <c r="K16" s="644"/>
      <c r="L16" s="645"/>
      <c r="M16" s="2"/>
    </row>
    <row r="17" spans="2:16" x14ac:dyDescent="0.35">
      <c r="B17" s="755"/>
      <c r="C17" s="758"/>
      <c r="D17" s="744"/>
      <c r="E17" s="644"/>
      <c r="F17" s="644"/>
      <c r="G17" s="644"/>
      <c r="H17" s="644"/>
      <c r="I17" s="644"/>
      <c r="J17" s="644"/>
      <c r="K17" s="644"/>
      <c r="L17" s="645"/>
      <c r="M17" s="2"/>
    </row>
    <row r="18" spans="2:16" x14ac:dyDescent="0.35">
      <c r="B18" s="755"/>
      <c r="C18" s="758"/>
      <c r="D18" s="744"/>
      <c r="E18" s="644"/>
      <c r="F18" s="644"/>
      <c r="G18" s="644"/>
      <c r="H18" s="644"/>
      <c r="I18" s="644"/>
      <c r="J18" s="644"/>
      <c r="K18" s="644"/>
      <c r="L18" s="645"/>
      <c r="M18" s="2"/>
      <c r="O18" s="156"/>
      <c r="P18" s="156"/>
    </row>
    <row r="19" spans="2:16" x14ac:dyDescent="0.35">
      <c r="B19" s="755"/>
      <c r="C19" s="758"/>
      <c r="D19" s="744"/>
      <c r="E19" s="644"/>
      <c r="F19" s="644"/>
      <c r="G19" s="644"/>
      <c r="H19" s="644"/>
      <c r="I19" s="644"/>
      <c r="J19" s="644"/>
      <c r="K19" s="644"/>
      <c r="L19" s="645"/>
      <c r="M19" s="2"/>
      <c r="O19" s="11"/>
    </row>
    <row r="20" spans="2:16" x14ac:dyDescent="0.35">
      <c r="B20" s="755"/>
      <c r="C20" s="758"/>
      <c r="D20" s="744"/>
      <c r="E20" s="644"/>
      <c r="F20" s="644"/>
      <c r="G20" s="644"/>
      <c r="H20" s="644"/>
      <c r="I20" s="644"/>
      <c r="J20" s="644"/>
      <c r="K20" s="644"/>
      <c r="L20" s="645"/>
      <c r="M20" s="2"/>
      <c r="O20" s="11"/>
    </row>
    <row r="21" spans="2:16" x14ac:dyDescent="0.35">
      <c r="B21" s="756"/>
      <c r="C21" s="759"/>
      <c r="D21" s="745"/>
      <c r="E21" s="746"/>
      <c r="F21" s="746"/>
      <c r="G21" s="746"/>
      <c r="H21" s="746"/>
      <c r="I21" s="746"/>
      <c r="J21" s="746"/>
      <c r="K21" s="746"/>
      <c r="L21" s="747"/>
      <c r="M21" s="2"/>
      <c r="O21" s="11"/>
    </row>
    <row r="22" spans="2:16" ht="14.25" customHeight="1" x14ac:dyDescent="0.35">
      <c r="B22" s="272" t="str">
        <f>IF(Intro!$G$21="English",O22,P22)</f>
        <v>Commentaire 2</v>
      </c>
      <c r="C22" s="757"/>
      <c r="D22" s="741"/>
      <c r="E22" s="742"/>
      <c r="F22" s="742"/>
      <c r="G22" s="742"/>
      <c r="H22" s="742"/>
      <c r="I22" s="742"/>
      <c r="J22" s="742"/>
      <c r="K22" s="742"/>
      <c r="L22" s="743"/>
      <c r="M22" s="2"/>
      <c r="O22" s="11" t="s">
        <v>277</v>
      </c>
      <c r="P22" s="2" t="s">
        <v>278</v>
      </c>
    </row>
    <row r="23" spans="2:16" x14ac:dyDescent="0.35">
      <c r="B23" s="159"/>
      <c r="C23" s="758"/>
      <c r="D23" s="744"/>
      <c r="E23" s="644"/>
      <c r="F23" s="644"/>
      <c r="G23" s="644"/>
      <c r="H23" s="644"/>
      <c r="I23" s="644"/>
      <c r="J23" s="644"/>
      <c r="K23" s="644"/>
      <c r="L23" s="645"/>
      <c r="M23" s="2"/>
    </row>
    <row r="24" spans="2:16" x14ac:dyDescent="0.35">
      <c r="B24" s="159"/>
      <c r="C24" s="758"/>
      <c r="D24" s="744"/>
      <c r="E24" s="644"/>
      <c r="F24" s="644"/>
      <c r="G24" s="644"/>
      <c r="H24" s="644"/>
      <c r="I24" s="644"/>
      <c r="J24" s="644"/>
      <c r="K24" s="644"/>
      <c r="L24" s="645"/>
      <c r="M24" s="2"/>
    </row>
    <row r="25" spans="2:16" x14ac:dyDescent="0.35">
      <c r="B25" s="159"/>
      <c r="C25" s="758"/>
      <c r="D25" s="744"/>
      <c r="E25" s="644"/>
      <c r="F25" s="644"/>
      <c r="G25" s="644"/>
      <c r="H25" s="644"/>
      <c r="I25" s="644"/>
      <c r="J25" s="644"/>
      <c r="K25" s="644"/>
      <c r="L25" s="645"/>
      <c r="M25" s="2"/>
    </row>
    <row r="26" spans="2:16" x14ac:dyDescent="0.35">
      <c r="B26" s="159"/>
      <c r="C26" s="758"/>
      <c r="D26" s="744"/>
      <c r="E26" s="644"/>
      <c r="F26" s="644"/>
      <c r="G26" s="644"/>
      <c r="H26" s="644"/>
      <c r="I26" s="644"/>
      <c r="J26" s="644"/>
      <c r="K26" s="644"/>
      <c r="L26" s="645"/>
      <c r="M26" s="2"/>
      <c r="O26" s="11"/>
    </row>
    <row r="27" spans="2:16" x14ac:dyDescent="0.35">
      <c r="B27" s="159"/>
      <c r="C27" s="758"/>
      <c r="D27" s="744"/>
      <c r="E27" s="644"/>
      <c r="F27" s="644"/>
      <c r="G27" s="644"/>
      <c r="H27" s="644"/>
      <c r="I27" s="644"/>
      <c r="J27" s="644"/>
      <c r="K27" s="644"/>
      <c r="L27" s="645"/>
      <c r="M27" s="2"/>
      <c r="O27" s="11"/>
    </row>
    <row r="28" spans="2:16" x14ac:dyDescent="0.35">
      <c r="B28" s="159"/>
      <c r="C28" s="758"/>
      <c r="D28" s="744"/>
      <c r="E28" s="644"/>
      <c r="F28" s="644"/>
      <c r="G28" s="644"/>
      <c r="H28" s="644"/>
      <c r="I28" s="644"/>
      <c r="J28" s="644"/>
      <c r="K28" s="644"/>
      <c r="L28" s="645"/>
      <c r="M28" s="2"/>
      <c r="O28" s="11"/>
    </row>
    <row r="29" spans="2:16" x14ac:dyDescent="0.35">
      <c r="B29" s="159"/>
      <c r="C29" s="758"/>
      <c r="D29" s="744"/>
      <c r="E29" s="644"/>
      <c r="F29" s="644"/>
      <c r="G29" s="644"/>
      <c r="H29" s="644"/>
      <c r="I29" s="644"/>
      <c r="J29" s="644"/>
      <c r="K29" s="644"/>
      <c r="L29" s="645"/>
      <c r="M29" s="2"/>
      <c r="O29" s="11"/>
    </row>
    <row r="30" spans="2:16" x14ac:dyDescent="0.35">
      <c r="B30" s="209"/>
      <c r="C30" s="759"/>
      <c r="D30" s="745"/>
      <c r="E30" s="746"/>
      <c r="F30" s="746"/>
      <c r="G30" s="746"/>
      <c r="H30" s="746"/>
      <c r="I30" s="746"/>
      <c r="J30" s="746"/>
      <c r="K30" s="746"/>
      <c r="L30" s="747"/>
      <c r="M30" s="2"/>
      <c r="O30" s="11"/>
    </row>
    <row r="31" spans="2:16" ht="14.25" customHeight="1" x14ac:dyDescent="0.35">
      <c r="B31" s="272" t="str">
        <f>IF(Intro!$G$21="English",O31,P31)</f>
        <v>Commentaire 3</v>
      </c>
      <c r="C31" s="757"/>
      <c r="D31" s="741"/>
      <c r="E31" s="742"/>
      <c r="F31" s="742"/>
      <c r="G31" s="742"/>
      <c r="H31" s="742"/>
      <c r="I31" s="742"/>
      <c r="J31" s="742"/>
      <c r="K31" s="742"/>
      <c r="L31" s="743"/>
      <c r="M31" s="2"/>
      <c r="O31" s="11" t="s">
        <v>279</v>
      </c>
      <c r="P31" s="2" t="s">
        <v>280</v>
      </c>
    </row>
    <row r="32" spans="2:16" x14ac:dyDescent="0.35">
      <c r="B32" s="159"/>
      <c r="C32" s="758"/>
      <c r="D32" s="744"/>
      <c r="E32" s="644"/>
      <c r="F32" s="644"/>
      <c r="G32" s="644"/>
      <c r="H32" s="644"/>
      <c r="I32" s="644"/>
      <c r="J32" s="644"/>
      <c r="K32" s="644"/>
      <c r="L32" s="645"/>
      <c r="M32" s="2"/>
    </row>
    <row r="33" spans="2:16" x14ac:dyDescent="0.35">
      <c r="B33" s="159"/>
      <c r="C33" s="758"/>
      <c r="D33" s="744"/>
      <c r="E33" s="644"/>
      <c r="F33" s="644"/>
      <c r="G33" s="644"/>
      <c r="H33" s="644"/>
      <c r="I33" s="644"/>
      <c r="J33" s="644"/>
      <c r="K33" s="644"/>
      <c r="L33" s="645"/>
      <c r="M33" s="2"/>
    </row>
    <row r="34" spans="2:16" x14ac:dyDescent="0.35">
      <c r="B34" s="159"/>
      <c r="C34" s="758"/>
      <c r="D34" s="744"/>
      <c r="E34" s="644"/>
      <c r="F34" s="644"/>
      <c r="G34" s="644"/>
      <c r="H34" s="644"/>
      <c r="I34" s="644"/>
      <c r="J34" s="644"/>
      <c r="K34" s="644"/>
      <c r="L34" s="645"/>
      <c r="M34" s="2"/>
      <c r="O34" s="11"/>
    </row>
    <row r="35" spans="2:16" x14ac:dyDescent="0.35">
      <c r="B35" s="159"/>
      <c r="C35" s="758"/>
      <c r="D35" s="744"/>
      <c r="E35" s="644"/>
      <c r="F35" s="644"/>
      <c r="G35" s="644"/>
      <c r="H35" s="644"/>
      <c r="I35" s="644"/>
      <c r="J35" s="644"/>
      <c r="K35" s="644"/>
      <c r="L35" s="645"/>
      <c r="M35" s="2"/>
      <c r="O35" s="11"/>
    </row>
    <row r="36" spans="2:16" x14ac:dyDescent="0.35">
      <c r="B36" s="159"/>
      <c r="C36" s="758"/>
      <c r="D36" s="744"/>
      <c r="E36" s="644"/>
      <c r="F36" s="644"/>
      <c r="G36" s="644"/>
      <c r="H36" s="644"/>
      <c r="I36" s="644"/>
      <c r="J36" s="644"/>
      <c r="K36" s="644"/>
      <c r="L36" s="645"/>
      <c r="M36" s="2"/>
      <c r="O36" s="11"/>
    </row>
    <row r="37" spans="2:16" x14ac:dyDescent="0.35">
      <c r="B37" s="159"/>
      <c r="C37" s="758"/>
      <c r="D37" s="744"/>
      <c r="E37" s="644"/>
      <c r="F37" s="644"/>
      <c r="G37" s="644"/>
      <c r="H37" s="644"/>
      <c r="I37" s="644"/>
      <c r="J37" s="644"/>
      <c r="K37" s="644"/>
      <c r="L37" s="645"/>
      <c r="M37" s="2"/>
      <c r="O37" s="11"/>
    </row>
    <row r="38" spans="2:16" x14ac:dyDescent="0.35">
      <c r="B38" s="159"/>
      <c r="C38" s="758"/>
      <c r="D38" s="744"/>
      <c r="E38" s="644"/>
      <c r="F38" s="644"/>
      <c r="G38" s="644"/>
      <c r="H38" s="644"/>
      <c r="I38" s="644"/>
      <c r="J38" s="644"/>
      <c r="K38" s="644"/>
      <c r="L38" s="645"/>
      <c r="M38" s="2"/>
      <c r="O38" s="11"/>
    </row>
    <row r="39" spans="2:16" x14ac:dyDescent="0.35">
      <c r="B39" s="209"/>
      <c r="C39" s="759"/>
      <c r="D39" s="745"/>
      <c r="E39" s="746"/>
      <c r="F39" s="746"/>
      <c r="G39" s="746"/>
      <c r="H39" s="746"/>
      <c r="I39" s="746"/>
      <c r="J39" s="746"/>
      <c r="K39" s="746"/>
      <c r="L39" s="747"/>
      <c r="M39" s="2"/>
      <c r="O39" s="11"/>
    </row>
    <row r="40" spans="2:16" ht="14.25" customHeight="1" x14ac:dyDescent="0.35">
      <c r="B40" s="272" t="str">
        <f>IF(Intro!$G$21="English",O40,P40)</f>
        <v>Commentaire 4</v>
      </c>
      <c r="C40" s="757"/>
      <c r="D40" s="741"/>
      <c r="E40" s="742"/>
      <c r="F40" s="742"/>
      <c r="G40" s="742"/>
      <c r="H40" s="742"/>
      <c r="I40" s="742"/>
      <c r="J40" s="742"/>
      <c r="K40" s="742"/>
      <c r="L40" s="743"/>
      <c r="M40" s="2"/>
      <c r="O40" s="11" t="s">
        <v>281</v>
      </c>
      <c r="P40" s="2" t="s">
        <v>282</v>
      </c>
    </row>
    <row r="41" spans="2:16" x14ac:dyDescent="0.35">
      <c r="B41" s="159"/>
      <c r="C41" s="758"/>
      <c r="D41" s="744"/>
      <c r="E41" s="644"/>
      <c r="F41" s="644"/>
      <c r="G41" s="644"/>
      <c r="H41" s="644"/>
      <c r="I41" s="644"/>
      <c r="J41" s="644"/>
      <c r="K41" s="644"/>
      <c r="L41" s="645"/>
      <c r="M41" s="2"/>
    </row>
    <row r="42" spans="2:16" x14ac:dyDescent="0.35">
      <c r="B42" s="159"/>
      <c r="C42" s="758"/>
      <c r="D42" s="744"/>
      <c r="E42" s="644"/>
      <c r="F42" s="644"/>
      <c r="G42" s="644"/>
      <c r="H42" s="644"/>
      <c r="I42" s="644"/>
      <c r="J42" s="644"/>
      <c r="K42" s="644"/>
      <c r="L42" s="645"/>
      <c r="M42" s="2"/>
      <c r="O42" s="11"/>
    </row>
    <row r="43" spans="2:16" x14ac:dyDescent="0.35">
      <c r="B43" s="159"/>
      <c r="C43" s="758"/>
      <c r="D43" s="744"/>
      <c r="E43" s="644"/>
      <c r="F43" s="644"/>
      <c r="G43" s="644"/>
      <c r="H43" s="644"/>
      <c r="I43" s="644"/>
      <c r="J43" s="644"/>
      <c r="K43" s="644"/>
      <c r="L43" s="645"/>
      <c r="M43" s="2"/>
      <c r="O43" s="11"/>
    </row>
    <row r="44" spans="2:16" x14ac:dyDescent="0.35">
      <c r="B44" s="159"/>
      <c r="C44" s="758"/>
      <c r="D44" s="744"/>
      <c r="E44" s="644"/>
      <c r="F44" s="644"/>
      <c r="G44" s="644"/>
      <c r="H44" s="644"/>
      <c r="I44" s="644"/>
      <c r="J44" s="644"/>
      <c r="K44" s="644"/>
      <c r="L44" s="645"/>
      <c r="M44" s="2"/>
      <c r="O44" s="11"/>
    </row>
    <row r="45" spans="2:16" x14ac:dyDescent="0.35">
      <c r="B45" s="159"/>
      <c r="C45" s="758"/>
      <c r="D45" s="744"/>
      <c r="E45" s="644"/>
      <c r="F45" s="644"/>
      <c r="G45" s="644"/>
      <c r="H45" s="644"/>
      <c r="I45" s="644"/>
      <c r="J45" s="644"/>
      <c r="K45" s="644"/>
      <c r="L45" s="645"/>
      <c r="M45" s="2"/>
      <c r="O45" s="11"/>
    </row>
    <row r="46" spans="2:16" x14ac:dyDescent="0.35">
      <c r="B46" s="159"/>
      <c r="C46" s="758"/>
      <c r="D46" s="744"/>
      <c r="E46" s="644"/>
      <c r="F46" s="644"/>
      <c r="G46" s="644"/>
      <c r="H46" s="644"/>
      <c r="I46" s="644"/>
      <c r="J46" s="644"/>
      <c r="K46" s="644"/>
      <c r="L46" s="645"/>
      <c r="M46" s="2"/>
      <c r="O46" s="11"/>
    </row>
    <row r="47" spans="2:16" x14ac:dyDescent="0.35">
      <c r="B47" s="159"/>
      <c r="C47" s="758"/>
      <c r="D47" s="744"/>
      <c r="E47" s="644"/>
      <c r="F47" s="644"/>
      <c r="G47" s="644"/>
      <c r="H47" s="644"/>
      <c r="I47" s="644"/>
      <c r="J47" s="644"/>
      <c r="K47" s="644"/>
      <c r="L47" s="645"/>
      <c r="M47" s="2"/>
      <c r="O47" s="11"/>
    </row>
    <row r="48" spans="2:16" x14ac:dyDescent="0.35">
      <c r="B48" s="209"/>
      <c r="C48" s="759"/>
      <c r="D48" s="745"/>
      <c r="E48" s="746"/>
      <c r="F48" s="746"/>
      <c r="G48" s="746"/>
      <c r="H48" s="746"/>
      <c r="I48" s="746"/>
      <c r="J48" s="746"/>
      <c r="K48" s="746"/>
      <c r="L48" s="747"/>
      <c r="M48" s="2"/>
      <c r="O48" s="11"/>
    </row>
    <row r="49" spans="1:16" ht="14.25" customHeight="1" x14ac:dyDescent="0.35">
      <c r="B49" s="272" t="str">
        <f>IF(Intro!$G$21="English",O49,P49)</f>
        <v>Commentaire 5</v>
      </c>
      <c r="C49" s="757"/>
      <c r="D49" s="741"/>
      <c r="E49" s="742"/>
      <c r="F49" s="742"/>
      <c r="G49" s="742"/>
      <c r="H49" s="742"/>
      <c r="I49" s="742"/>
      <c r="J49" s="742"/>
      <c r="K49" s="742"/>
      <c r="L49" s="743"/>
      <c r="M49" s="2"/>
      <c r="O49" s="11" t="s">
        <v>283</v>
      </c>
      <c r="P49" s="2" t="s">
        <v>284</v>
      </c>
    </row>
    <row r="50" spans="1:16" x14ac:dyDescent="0.35">
      <c r="B50" s="159"/>
      <c r="C50" s="758"/>
      <c r="D50" s="744"/>
      <c r="E50" s="644"/>
      <c r="F50" s="644"/>
      <c r="G50" s="644"/>
      <c r="H50" s="644"/>
      <c r="I50" s="644"/>
      <c r="J50" s="644"/>
      <c r="K50" s="644"/>
      <c r="L50" s="645"/>
      <c r="M50" s="2"/>
      <c r="O50" s="11"/>
    </row>
    <row r="51" spans="1:16" x14ac:dyDescent="0.35">
      <c r="B51" s="159"/>
      <c r="C51" s="758"/>
      <c r="D51" s="744"/>
      <c r="E51" s="644"/>
      <c r="F51" s="644"/>
      <c r="G51" s="644"/>
      <c r="H51" s="644"/>
      <c r="I51" s="644"/>
      <c r="J51" s="644"/>
      <c r="K51" s="644"/>
      <c r="L51" s="645"/>
      <c r="M51" s="2"/>
      <c r="O51" s="11"/>
    </row>
    <row r="52" spans="1:16" x14ac:dyDescent="0.35">
      <c r="B52" s="159"/>
      <c r="C52" s="758"/>
      <c r="D52" s="744"/>
      <c r="E52" s="644"/>
      <c r="F52" s="644"/>
      <c r="G52" s="644"/>
      <c r="H52" s="644"/>
      <c r="I52" s="644"/>
      <c r="J52" s="644"/>
      <c r="K52" s="644"/>
      <c r="L52" s="645"/>
      <c r="M52" s="2"/>
      <c r="O52" s="11"/>
    </row>
    <row r="53" spans="1:16" x14ac:dyDescent="0.35">
      <c r="B53" s="159"/>
      <c r="C53" s="758"/>
      <c r="D53" s="744"/>
      <c r="E53" s="644"/>
      <c r="F53" s="644"/>
      <c r="G53" s="644"/>
      <c r="H53" s="644"/>
      <c r="I53" s="644"/>
      <c r="J53" s="644"/>
      <c r="K53" s="644"/>
      <c r="L53" s="645"/>
      <c r="M53" s="2"/>
      <c r="O53" s="11"/>
    </row>
    <row r="54" spans="1:16" x14ac:dyDescent="0.35">
      <c r="B54" s="159"/>
      <c r="C54" s="758"/>
      <c r="D54" s="744"/>
      <c r="E54" s="644"/>
      <c r="F54" s="644"/>
      <c r="G54" s="644"/>
      <c r="H54" s="644"/>
      <c r="I54" s="644"/>
      <c r="J54" s="644"/>
      <c r="K54" s="644"/>
      <c r="L54" s="645"/>
      <c r="M54" s="2"/>
      <c r="O54" s="11"/>
    </row>
    <row r="55" spans="1:16" x14ac:dyDescent="0.35">
      <c r="B55" s="159"/>
      <c r="C55" s="758"/>
      <c r="D55" s="744"/>
      <c r="E55" s="644"/>
      <c r="F55" s="644"/>
      <c r="G55" s="644"/>
      <c r="H55" s="644"/>
      <c r="I55" s="644"/>
      <c r="J55" s="644"/>
      <c r="K55" s="644"/>
      <c r="L55" s="645"/>
      <c r="M55" s="2"/>
      <c r="O55" s="11"/>
    </row>
    <row r="56" spans="1:16" x14ac:dyDescent="0.35">
      <c r="B56" s="159"/>
      <c r="C56" s="758"/>
      <c r="D56" s="744"/>
      <c r="E56" s="644"/>
      <c r="F56" s="644"/>
      <c r="G56" s="644"/>
      <c r="H56" s="644"/>
      <c r="I56" s="644"/>
      <c r="J56" s="644"/>
      <c r="K56" s="644"/>
      <c r="L56" s="645"/>
      <c r="M56" s="2"/>
      <c r="O56" s="11"/>
    </row>
    <row r="57" spans="1:16" s="156" customFormat="1" x14ac:dyDescent="0.35">
      <c r="A57" s="179"/>
      <c r="B57" s="36"/>
      <c r="C57" s="759"/>
      <c r="D57" s="748"/>
      <c r="E57" s="749"/>
      <c r="F57" s="749"/>
      <c r="G57" s="749"/>
      <c r="H57" s="749"/>
      <c r="I57" s="749"/>
      <c r="J57" s="749"/>
      <c r="K57" s="749"/>
      <c r="L57" s="750"/>
      <c r="N57" s="181"/>
    </row>
  </sheetData>
  <sheetProtection algorithmName="SHA-512" hashValue="wEIs4yZH+/Zrj8c+TP0SQ68GpP62mFRabG63fg2YB3sSwHA9GSHEFTfBtqzdKmPcySZSfyGpH5HZQzMG2phuUQ==" saltValue="siHboOK057zkuwPvJz3onw==" spinCount="100000" sheet="1" objects="1" scenarios="1" selectLockedCells="1"/>
  <mergeCells count="17">
    <mergeCell ref="D40:L48"/>
    <mergeCell ref="D49:L57"/>
    <mergeCell ref="D12:L12"/>
    <mergeCell ref="B13:B21"/>
    <mergeCell ref="D13:L21"/>
    <mergeCell ref="D22:L30"/>
    <mergeCell ref="D31:L39"/>
    <mergeCell ref="C13:C21"/>
    <mergeCell ref="C22:C30"/>
    <mergeCell ref="C31:C39"/>
    <mergeCell ref="C40:C48"/>
    <mergeCell ref="C49:C57"/>
    <mergeCell ref="B4:L4"/>
    <mergeCell ref="B5:L5"/>
    <mergeCell ref="B6:L6"/>
    <mergeCell ref="B10:L10"/>
    <mergeCell ref="B8:L8"/>
  </mergeCells>
  <phoneticPr fontId="18" type="noConversion"/>
  <printOptions horizontalCentered="1"/>
  <pageMargins left="0.25" right="0.25" top="0.75" bottom="0.75" header="0.3" footer="0.3"/>
  <pageSetup scale="63" fitToHeight="0" orientation="portrait" r:id="rId1"/>
  <headerFooter>
    <oddFooter>&amp;L&amp;A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07A1-970C-4876-9646-4168019D28DD}">
  <sheetPr>
    <tabColor rgb="FF00B0F0"/>
    <pageSetUpPr fitToPage="1"/>
  </sheetPr>
  <dimension ref="A1:Q84"/>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8" width="9.08984375" style="2" customWidth="1"/>
    <col min="19" max="16384" width="9.08984375" style="2"/>
  </cols>
  <sheetData>
    <row r="1" spans="1:16" x14ac:dyDescent="0.35">
      <c r="O1" s="2" t="s">
        <v>715</v>
      </c>
      <c r="P1" s="2" t="s">
        <v>715</v>
      </c>
    </row>
    <row r="2" spans="1:16" x14ac:dyDescent="0.35">
      <c r="B2" s="20" t="s">
        <v>0</v>
      </c>
      <c r="O2" s="3" t="s">
        <v>164</v>
      </c>
      <c r="P2" s="3" t="s">
        <v>165</v>
      </c>
    </row>
    <row r="3" spans="1:16" x14ac:dyDescent="0.35">
      <c r="B3" s="21"/>
      <c r="O3" s="8"/>
      <c r="P3" s="8"/>
    </row>
    <row r="4" spans="1:16" s="8" customFormat="1" x14ac:dyDescent="0.35">
      <c r="A4" s="13"/>
      <c r="B4" s="614" t="str">
        <f>Info!B4</f>
        <v>QUESTIONNAIRE À L’INTENTION DES PRODUCTEURS</v>
      </c>
      <c r="C4" s="615"/>
      <c r="D4" s="615"/>
      <c r="E4" s="615"/>
      <c r="F4" s="615"/>
      <c r="G4" s="615"/>
      <c r="H4" s="615"/>
      <c r="I4" s="615"/>
      <c r="J4" s="615"/>
      <c r="K4" s="615"/>
      <c r="L4" s="616"/>
      <c r="M4" s="15"/>
      <c r="N4" s="15"/>
      <c r="O4" s="14"/>
      <c r="P4" s="14"/>
    </row>
    <row r="5" spans="1:16" s="8" customFormat="1" x14ac:dyDescent="0.35">
      <c r="A5" s="13"/>
      <c r="B5" s="617" t="str">
        <f>Info!B5</f>
        <v>NQ-2026-003</v>
      </c>
      <c r="C5" s="618"/>
      <c r="D5" s="618"/>
      <c r="E5" s="618"/>
      <c r="F5" s="618"/>
      <c r="G5" s="618"/>
      <c r="H5" s="618"/>
      <c r="I5" s="618"/>
      <c r="J5" s="618"/>
      <c r="K5" s="618"/>
      <c r="L5" s="619"/>
      <c r="M5" s="15"/>
      <c r="N5" s="15"/>
      <c r="O5" s="14"/>
      <c r="P5" s="14"/>
    </row>
    <row r="6" spans="1:16" s="9" customFormat="1" x14ac:dyDescent="0.35">
      <c r="A6" s="13"/>
      <c r="B6" s="622" t="str">
        <f>Info!B6</f>
        <v>CÂBLES DE BÂTIMENTS NON ARMÉS</v>
      </c>
      <c r="C6" s="623"/>
      <c r="D6" s="623"/>
      <c r="E6" s="623"/>
      <c r="F6" s="623"/>
      <c r="G6" s="623"/>
      <c r="H6" s="623"/>
      <c r="I6" s="623"/>
      <c r="J6" s="623"/>
      <c r="K6" s="623"/>
      <c r="L6" s="624"/>
      <c r="M6" s="14"/>
      <c r="N6" s="14"/>
      <c r="O6" s="10"/>
      <c r="P6" s="10"/>
    </row>
    <row r="7" spans="1:16" s="9" customFormat="1" x14ac:dyDescent="0.35">
      <c r="A7" s="13"/>
      <c r="B7" s="22"/>
      <c r="C7" s="23"/>
      <c r="D7" s="23"/>
      <c r="E7" s="23"/>
      <c r="F7" s="23"/>
      <c r="G7" s="23"/>
      <c r="H7" s="23"/>
      <c r="I7" s="23"/>
      <c r="J7" s="23"/>
      <c r="K7" s="23"/>
      <c r="L7" s="23"/>
      <c r="O7" s="10"/>
      <c r="P7" s="10"/>
    </row>
    <row r="8" spans="1:16" x14ac:dyDescent="0.35">
      <c r="B8" s="599" t="str">
        <f>IF(Intro!$G$21="English",O8,P8)</f>
        <v>CONFIRMATION DES DONNÉES DÉCLARÉES</v>
      </c>
      <c r="C8" s="600"/>
      <c r="D8" s="600"/>
      <c r="E8" s="600"/>
      <c r="F8" s="600"/>
      <c r="G8" s="600"/>
      <c r="H8" s="600"/>
      <c r="I8" s="600"/>
      <c r="J8" s="600"/>
      <c r="K8" s="600"/>
      <c r="L8" s="601"/>
      <c r="M8" s="2"/>
      <c r="O8" s="2" t="s">
        <v>18</v>
      </c>
      <c r="P8" s="2" t="s">
        <v>19</v>
      </c>
    </row>
    <row r="9" spans="1:16" x14ac:dyDescent="0.35">
      <c r="B9" s="599" t="str">
        <f>IF(Intro!$G$21="English",O9,P9)</f>
        <v>GÉNÉRAL</v>
      </c>
      <c r="C9" s="600"/>
      <c r="D9" s="600"/>
      <c r="E9" s="600"/>
      <c r="F9" s="600"/>
      <c r="G9" s="600"/>
      <c r="H9" s="600"/>
      <c r="I9" s="600"/>
      <c r="J9" s="600"/>
      <c r="K9" s="600"/>
      <c r="L9" s="601"/>
      <c r="M9" s="2"/>
      <c r="O9" s="198" t="s">
        <v>657</v>
      </c>
      <c r="P9" s="198" t="s">
        <v>658</v>
      </c>
    </row>
    <row r="10" spans="1:16" x14ac:dyDescent="0.35">
      <c r="B10" s="169"/>
      <c r="C10" s="170"/>
      <c r="D10" s="170"/>
      <c r="E10" s="170"/>
      <c r="F10" s="170"/>
      <c r="G10" s="170"/>
      <c r="H10" s="170"/>
      <c r="I10" s="170"/>
      <c r="J10" s="170"/>
      <c r="K10" s="170"/>
      <c r="L10" s="171"/>
      <c r="M10" s="2"/>
    </row>
    <row r="11" spans="1:16" s="1" customFormat="1" x14ac:dyDescent="0.35">
      <c r="A11" s="265"/>
      <c r="B11" s="37"/>
      <c r="C11" s="19"/>
      <c r="D11" s="19"/>
      <c r="E11" s="19"/>
      <c r="F11" s="19"/>
      <c r="G11" s="19"/>
      <c r="H11" s="19"/>
      <c r="I11" s="19"/>
      <c r="J11" s="266" t="str">
        <f>IF(Intro!$G$21="English",O11,P11)</f>
        <v>Sélectionnez oui ou non</v>
      </c>
      <c r="K11" s="19"/>
      <c r="L11" s="38"/>
      <c r="O11" s="1" t="s">
        <v>360</v>
      </c>
      <c r="P11" s="1" t="s">
        <v>666</v>
      </c>
    </row>
    <row r="12" spans="1:16" s="152" customFormat="1" x14ac:dyDescent="0.35">
      <c r="A12" s="172"/>
      <c r="B12" s="628" t="str">
        <f>IF(Intro!$G$21="English",O12,P12)</f>
        <v>Confirmez que toutes les données déclarées dans ce questionnaire concernent les marchandises telles que définies dans l’onglet « Intro ».</v>
      </c>
      <c r="C12" s="629"/>
      <c r="D12" s="629"/>
      <c r="E12" s="629"/>
      <c r="F12" s="629"/>
      <c r="G12" s="629"/>
      <c r="H12" s="629"/>
      <c r="I12" s="629"/>
      <c r="J12" s="207"/>
      <c r="K12" s="173"/>
      <c r="L12" s="174"/>
      <c r="O12" s="152" t="s">
        <v>699</v>
      </c>
      <c r="P12" s="152" t="s">
        <v>700</v>
      </c>
    </row>
    <row r="13" spans="1:16" s="152" customFormat="1" x14ac:dyDescent="0.35">
      <c r="A13" s="172"/>
      <c r="B13" s="628" t="str">
        <f>IF(Intro!$G$21="English",O13,P13)</f>
        <v>Confirmez que tous les volumes déclarés dans ce questionnaire sont en mètres.</v>
      </c>
      <c r="C13" s="629"/>
      <c r="D13" s="629"/>
      <c r="E13" s="629"/>
      <c r="F13" s="629"/>
      <c r="G13" s="629"/>
      <c r="H13" s="629"/>
      <c r="I13" s="629"/>
      <c r="J13" s="207"/>
      <c r="L13" s="174"/>
      <c r="O13" s="152" t="str">
        <f>"Confirm that all volumes reported in this questionnaire are in "&amp;Variables!B23&amp;"."</f>
        <v>Confirm that all volumes reported in this questionnaire are in metres.</v>
      </c>
      <c r="P13" s="152" t="str">
        <f>"Confirmez que tous les volumes déclarés dans ce questionnaire sont en "&amp;Variables!C23&amp;"."</f>
        <v>Confirmez que tous les volumes déclarés dans ce questionnaire sont en mètres.</v>
      </c>
    </row>
    <row r="14" spans="1:16" s="152" customFormat="1" x14ac:dyDescent="0.35">
      <c r="A14" s="172"/>
      <c r="B14" s="628" t="str">
        <f>IF(Intro!$G$21="English",O14,P14)</f>
        <v>Confirmez que toutes les valeurs déclarées dans ce questionnaire sont en dollars canadiens.</v>
      </c>
      <c r="C14" s="629"/>
      <c r="D14" s="629"/>
      <c r="E14" s="629"/>
      <c r="F14" s="629"/>
      <c r="G14" s="629"/>
      <c r="H14" s="629"/>
      <c r="I14" s="629"/>
      <c r="J14" s="207"/>
      <c r="L14" s="174"/>
      <c r="O14" s="152" t="s">
        <v>428</v>
      </c>
      <c r="P14" s="152" t="s">
        <v>427</v>
      </c>
    </row>
    <row r="15" spans="1:16" s="152" customFormat="1" x14ac:dyDescent="0.35">
      <c r="A15" s="172"/>
      <c r="B15" s="628" t="str">
        <f>IF(Intro!$G$21="English",O15,P15)</f>
        <v>Confirmez que tous les renseignements déclarés le sont selon l’année civile.</v>
      </c>
      <c r="C15" s="629"/>
      <c r="D15" s="629"/>
      <c r="E15" s="629"/>
      <c r="F15" s="629"/>
      <c r="G15" s="629"/>
      <c r="H15" s="629"/>
      <c r="I15" s="629"/>
      <c r="J15" s="207"/>
      <c r="K15" s="173"/>
      <c r="L15" s="174"/>
      <c r="O15" s="152" t="s">
        <v>155</v>
      </c>
      <c r="P15" s="152" t="s">
        <v>156</v>
      </c>
    </row>
    <row r="16" spans="1:16" x14ac:dyDescent="0.35">
      <c r="B16" s="169"/>
      <c r="C16" s="170"/>
      <c r="D16" s="170"/>
      <c r="E16" s="170"/>
      <c r="F16" s="170"/>
      <c r="G16" s="170"/>
      <c r="H16" s="170"/>
      <c r="I16" s="170"/>
      <c r="J16" s="170"/>
      <c r="K16" s="170"/>
      <c r="L16" s="171"/>
      <c r="M16" s="2"/>
    </row>
    <row r="17" spans="1:16" x14ac:dyDescent="0.35">
      <c r="B17" s="602" t="str">
        <f>IF(Intro!$G$21="English",O17,P17)</f>
        <v>Si non, expliquez.</v>
      </c>
      <c r="C17" s="603"/>
      <c r="D17" s="603"/>
      <c r="E17" s="603"/>
      <c r="F17" s="603"/>
      <c r="G17" s="603"/>
      <c r="H17" s="603"/>
      <c r="I17" s="603"/>
      <c r="J17" s="603"/>
      <c r="K17" s="603"/>
      <c r="L17" s="604"/>
      <c r="M17" s="2"/>
      <c r="O17" s="155" t="s">
        <v>573</v>
      </c>
      <c r="P17" s="9" t="s">
        <v>574</v>
      </c>
    </row>
    <row r="18" spans="1:16" s="152" customFormat="1" x14ac:dyDescent="0.35">
      <c r="A18" s="172"/>
      <c r="B18" s="184"/>
      <c r="C18" s="173"/>
      <c r="D18" s="173"/>
      <c r="E18" s="173"/>
      <c r="F18" s="173"/>
      <c r="G18" s="173"/>
      <c r="H18" s="173"/>
      <c r="I18" s="173"/>
      <c r="J18" s="173"/>
      <c r="K18" s="173"/>
      <c r="L18" s="174"/>
      <c r="O18" s="9"/>
      <c r="P18" s="9"/>
    </row>
    <row r="19" spans="1:16" s="3" customFormat="1" x14ac:dyDescent="0.35">
      <c r="A19" s="12"/>
      <c r="B19" s="704"/>
      <c r="C19" s="705"/>
      <c r="D19" s="705"/>
      <c r="E19" s="705"/>
      <c r="F19" s="705"/>
      <c r="G19" s="705"/>
      <c r="H19" s="705"/>
      <c r="I19" s="705"/>
      <c r="J19" s="705"/>
      <c r="K19" s="705"/>
      <c r="L19" s="706"/>
      <c r="M19" s="152"/>
      <c r="O19" s="154"/>
      <c r="P19" s="154"/>
    </row>
    <row r="20" spans="1:16" s="3" customFormat="1" x14ac:dyDescent="0.35">
      <c r="A20" s="12"/>
      <c r="B20" s="704"/>
      <c r="C20" s="705"/>
      <c r="D20" s="705"/>
      <c r="E20" s="705"/>
      <c r="F20" s="705"/>
      <c r="G20" s="705"/>
      <c r="H20" s="705"/>
      <c r="I20" s="705"/>
      <c r="J20" s="705"/>
      <c r="K20" s="705"/>
      <c r="L20" s="706"/>
      <c r="M20" s="152"/>
      <c r="O20" s="154"/>
      <c r="P20" s="154"/>
    </row>
    <row r="21" spans="1:16" s="3" customFormat="1" x14ac:dyDescent="0.35">
      <c r="A21" s="12"/>
      <c r="B21" s="704"/>
      <c r="C21" s="705"/>
      <c r="D21" s="705"/>
      <c r="E21" s="705"/>
      <c r="F21" s="705"/>
      <c r="G21" s="705"/>
      <c r="H21" s="705"/>
      <c r="I21" s="705"/>
      <c r="J21" s="705"/>
      <c r="K21" s="705"/>
      <c r="L21" s="706"/>
      <c r="M21" s="152"/>
      <c r="O21" s="154"/>
      <c r="P21" s="154"/>
    </row>
    <row r="22" spans="1:16" s="3" customFormat="1" x14ac:dyDescent="0.35">
      <c r="A22" s="12"/>
      <c r="B22" s="704"/>
      <c r="C22" s="705"/>
      <c r="D22" s="705"/>
      <c r="E22" s="705"/>
      <c r="F22" s="705"/>
      <c r="G22" s="705"/>
      <c r="H22" s="705"/>
      <c r="I22" s="705"/>
      <c r="J22" s="705"/>
      <c r="K22" s="705"/>
      <c r="L22" s="706"/>
      <c r="M22" s="152"/>
      <c r="O22" s="154"/>
      <c r="P22" s="154"/>
    </row>
    <row r="23" spans="1:16" s="3" customFormat="1" x14ac:dyDescent="0.35">
      <c r="A23" s="12"/>
      <c r="B23" s="704"/>
      <c r="C23" s="705"/>
      <c r="D23" s="705"/>
      <c r="E23" s="705"/>
      <c r="F23" s="705"/>
      <c r="G23" s="705"/>
      <c r="H23" s="705"/>
      <c r="I23" s="705"/>
      <c r="J23" s="705"/>
      <c r="K23" s="705"/>
      <c r="L23" s="706"/>
      <c r="M23" s="152"/>
      <c r="O23" s="154"/>
      <c r="P23" s="154"/>
    </row>
    <row r="24" spans="1:16" s="3" customFormat="1" x14ac:dyDescent="0.35">
      <c r="A24" s="12"/>
      <c r="B24" s="704"/>
      <c r="C24" s="705"/>
      <c r="D24" s="705"/>
      <c r="E24" s="705"/>
      <c r="F24" s="705"/>
      <c r="G24" s="705"/>
      <c r="H24" s="705"/>
      <c r="I24" s="705"/>
      <c r="J24" s="705"/>
      <c r="K24" s="705"/>
      <c r="L24" s="706"/>
      <c r="M24" s="152"/>
      <c r="O24" s="154"/>
      <c r="P24" s="154"/>
    </row>
    <row r="25" spans="1:16" s="3" customFormat="1" x14ac:dyDescent="0.35">
      <c r="A25" s="12"/>
      <c r="B25" s="704"/>
      <c r="C25" s="705"/>
      <c r="D25" s="705"/>
      <c r="E25" s="705"/>
      <c r="F25" s="705"/>
      <c r="G25" s="705"/>
      <c r="H25" s="705"/>
      <c r="I25" s="705"/>
      <c r="J25" s="705"/>
      <c r="K25" s="705"/>
      <c r="L25" s="706"/>
      <c r="M25" s="152"/>
      <c r="O25" s="154"/>
      <c r="P25" s="154"/>
    </row>
    <row r="26" spans="1:16" s="3" customFormat="1" x14ac:dyDescent="0.35">
      <c r="A26" s="12"/>
      <c r="B26" s="704"/>
      <c r="C26" s="705"/>
      <c r="D26" s="705"/>
      <c r="E26" s="705"/>
      <c r="F26" s="705"/>
      <c r="G26" s="705"/>
      <c r="H26" s="705"/>
      <c r="I26" s="705"/>
      <c r="J26" s="705"/>
      <c r="K26" s="705"/>
      <c r="L26" s="706"/>
      <c r="M26" s="152"/>
      <c r="O26" s="154"/>
      <c r="P26" s="154"/>
    </row>
    <row r="27" spans="1:16" x14ac:dyDescent="0.35">
      <c r="B27" s="169"/>
      <c r="C27" s="170"/>
      <c r="D27" s="170"/>
      <c r="E27" s="170"/>
      <c r="F27" s="170"/>
      <c r="G27" s="170"/>
      <c r="H27" s="170"/>
      <c r="I27" s="170"/>
      <c r="J27" s="170"/>
      <c r="K27" s="170"/>
      <c r="L27" s="171"/>
      <c r="M27" s="2"/>
    </row>
    <row r="28" spans="1:16" x14ac:dyDescent="0.35">
      <c r="B28" s="981" t="str">
        <f>IF(Intro!$G$21="English",O28,P28)</f>
        <v>PRODUCTION ET VENTES</v>
      </c>
      <c r="C28" s="982"/>
      <c r="D28" s="982"/>
      <c r="E28" s="982"/>
      <c r="F28" s="982"/>
      <c r="G28" s="982"/>
      <c r="H28" s="982"/>
      <c r="I28" s="982"/>
      <c r="J28" s="982"/>
      <c r="K28" s="982"/>
      <c r="L28" s="983"/>
      <c r="M28" s="2"/>
      <c r="O28" s="198" t="s">
        <v>655</v>
      </c>
      <c r="P28" s="198" t="s">
        <v>656</v>
      </c>
    </row>
    <row r="29" spans="1:16" x14ac:dyDescent="0.35">
      <c r="B29" s="169"/>
      <c r="C29" s="170"/>
      <c r="D29" s="170"/>
      <c r="E29" s="170"/>
      <c r="F29" s="170"/>
      <c r="G29" s="170"/>
      <c r="H29" s="170"/>
      <c r="I29" s="170"/>
      <c r="J29" s="170"/>
      <c r="K29" s="170"/>
      <c r="L29" s="171"/>
      <c r="M29" s="2"/>
    </row>
    <row r="30" spans="1:16" x14ac:dyDescent="0.35">
      <c r="B30" s="602" t="str">
        <f>IF(Intro!$G$21="English",O30,P30)</f>
        <v>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v>
      </c>
      <c r="C30" s="603"/>
      <c r="D30" s="603"/>
      <c r="E30" s="603"/>
      <c r="F30" s="603"/>
      <c r="G30" s="603"/>
      <c r="H30" s="603"/>
      <c r="I30" s="603"/>
      <c r="J30" s="603"/>
      <c r="K30" s="603"/>
      <c r="L30" s="604"/>
      <c r="M30" s="2"/>
      <c r="O30" s="2" t="s">
        <v>333</v>
      </c>
      <c r="P30" s="2" t="s">
        <v>334</v>
      </c>
    </row>
    <row r="31" spans="1:16" x14ac:dyDescent="0.35">
      <c r="B31" s="602"/>
      <c r="C31" s="603"/>
      <c r="D31" s="603"/>
      <c r="E31" s="603"/>
      <c r="F31" s="603"/>
      <c r="G31" s="603"/>
      <c r="H31" s="603"/>
      <c r="I31" s="603"/>
      <c r="J31" s="603"/>
      <c r="K31" s="603"/>
      <c r="L31" s="604"/>
      <c r="M31" s="2"/>
    </row>
    <row r="32" spans="1:16" x14ac:dyDescent="0.35">
      <c r="B32" s="169"/>
      <c r="C32" s="170"/>
      <c r="D32" s="170"/>
      <c r="E32" s="170"/>
      <c r="F32" s="170"/>
      <c r="G32" s="170"/>
      <c r="H32" s="170"/>
      <c r="I32" s="170"/>
      <c r="J32" s="170"/>
      <c r="K32" s="170"/>
      <c r="L32" s="171"/>
      <c r="M32" s="2"/>
    </row>
    <row r="33" spans="1:16" x14ac:dyDescent="0.35">
      <c r="B33" s="159"/>
      <c r="C33" s="2"/>
      <c r="D33" s="2"/>
      <c r="E33" s="835">
        <f>Variables!B6</f>
        <v>2023</v>
      </c>
      <c r="F33" s="835">
        <f>E33+1</f>
        <v>2024</v>
      </c>
      <c r="G33" s="835">
        <f>F33+1</f>
        <v>2025</v>
      </c>
      <c r="H33" s="835" t="str">
        <f>IF(Intro!$G$21="English",Variables!B9,Variables!C9)</f>
        <v>janv.-mars 2025</v>
      </c>
      <c r="I33" s="835" t="str">
        <f>IF(Intro!$G$21="English",Variables!B10,Variables!C10)</f>
        <v>janv.-mars 2026</v>
      </c>
      <c r="J33" s="152"/>
      <c r="K33" s="152"/>
      <c r="L33" s="178"/>
      <c r="M33" s="2"/>
      <c r="O33" s="11"/>
    </row>
    <row r="34" spans="1:16" x14ac:dyDescent="0.35">
      <c r="B34" s="159"/>
      <c r="C34" s="2"/>
      <c r="D34" s="2"/>
      <c r="E34" s="836"/>
      <c r="F34" s="836"/>
      <c r="G34" s="836"/>
      <c r="H34" s="836"/>
      <c r="I34" s="836"/>
      <c r="J34" s="152"/>
      <c r="K34" s="152"/>
      <c r="L34" s="178"/>
      <c r="M34" s="2"/>
      <c r="O34" s="11"/>
    </row>
    <row r="35" spans="1:16" s="152" customFormat="1" x14ac:dyDescent="0.35">
      <c r="A35" s="172"/>
      <c r="B35" s="732" t="str">
        <f>IF(Intro!$G$21="English",O35,P35)</f>
        <v>Production</v>
      </c>
      <c r="C35" s="733"/>
      <c r="D35" s="733"/>
      <c r="E35" s="219" t="str">
        <f>IF('Pro 1'!G25&lt;&gt;0,"X","-")</f>
        <v>-</v>
      </c>
      <c r="F35" s="219" t="str">
        <f>IF('Pro 1'!H25&lt;&gt;0,"X","-")</f>
        <v>-</v>
      </c>
      <c r="G35" s="219" t="str">
        <f>IF('Pro 1'!I25&lt;&gt;0,"X","-")</f>
        <v>-</v>
      </c>
      <c r="H35" s="219" t="str">
        <f>IF('Pro 1'!J25&lt;&gt;0,"X","-")</f>
        <v>-</v>
      </c>
      <c r="I35" s="219" t="str">
        <f>IF('Pro 1'!K25&lt;&gt;0,"X","-")</f>
        <v>-</v>
      </c>
      <c r="L35" s="178"/>
      <c r="O35" s="152" t="s">
        <v>40</v>
      </c>
      <c r="P35" s="152" t="s">
        <v>40</v>
      </c>
    </row>
    <row r="36" spans="1:16" s="152" customFormat="1" x14ac:dyDescent="0.35">
      <c r="A36" s="172"/>
      <c r="B36" s="732" t="str">
        <f>'Pro 2'!B28</f>
        <v>Ventes aux distributeurs au Canada</v>
      </c>
      <c r="C36" s="733"/>
      <c r="D36" s="733"/>
      <c r="E36" s="219" t="str">
        <f>IF(SUM('Pro 2'!G28:G29)&lt;&gt;0,"X","-")</f>
        <v>-</v>
      </c>
      <c r="F36" s="219" t="str">
        <f>IF(SUM('Pro 2'!H28:H29)&lt;&gt;0,"X","-")</f>
        <v>-</v>
      </c>
      <c r="G36" s="219" t="str">
        <f>IF(SUM('Pro 2'!I28:I29)&lt;&gt;0,"X","-")</f>
        <v>-</v>
      </c>
      <c r="H36" s="219" t="str">
        <f>IF(SUM('Pro 2'!J28:J29)&lt;&gt;0,"X","-")</f>
        <v>-</v>
      </c>
      <c r="I36" s="219" t="str">
        <f>IF(SUM('Pro 2'!K28:K29)&lt;&gt;0,"X","-")</f>
        <v>-</v>
      </c>
      <c r="L36" s="178"/>
    </row>
    <row r="37" spans="1:16" s="152" customFormat="1" x14ac:dyDescent="0.35">
      <c r="A37" s="172"/>
      <c r="B37" s="732" t="str">
        <f>'Pro 2'!B31</f>
        <v>Ventes aux détaillants/utilisateurs finals au Canada</v>
      </c>
      <c r="C37" s="733"/>
      <c r="D37" s="733"/>
      <c r="E37" s="219" t="str">
        <f>IF(SUM('Pro 2'!G31:G32)&lt;&gt;0,"X","-")</f>
        <v>-</v>
      </c>
      <c r="F37" s="219" t="str">
        <f>IF(SUM('Pro 2'!H31:H32)&lt;&gt;0,"X","-")</f>
        <v>-</v>
      </c>
      <c r="G37" s="219" t="str">
        <f>IF(SUM('Pro 2'!I31:I32)&lt;&gt;0,"X","-")</f>
        <v>-</v>
      </c>
      <c r="H37" s="219" t="str">
        <f>IF(SUM('Pro 2'!J31:J32)&lt;&gt;0,"X","-")</f>
        <v>-</v>
      </c>
      <c r="I37" s="219" t="str">
        <f>IF(SUM('Pro 2'!K31:K32)&lt;&gt;0,"X","-")</f>
        <v>-</v>
      </c>
      <c r="L37" s="178"/>
    </row>
    <row r="38" spans="1:16" s="152" customFormat="1" x14ac:dyDescent="0.35">
      <c r="A38" s="172"/>
      <c r="B38" s="732" t="str">
        <f>'Pro 2'!B37</f>
        <v>Ventes à l'exportation</v>
      </c>
      <c r="C38" s="733"/>
      <c r="D38" s="733"/>
      <c r="E38" s="219" t="str">
        <f>IF(SUM('Pro 2'!G37:G38)&lt;&gt;0,"X","-")</f>
        <v>-</v>
      </c>
      <c r="F38" s="219" t="str">
        <f>IF(SUM('Pro 2'!H37:H38)&lt;&gt;0,"X","-")</f>
        <v>-</v>
      </c>
      <c r="G38" s="219" t="str">
        <f>IF(SUM('Pro 2'!I37:I38)&lt;&gt;0,"X","-")</f>
        <v>-</v>
      </c>
      <c r="H38" s="219" t="str">
        <f>IF(SUM('Pro 2'!J37:J38)&lt;&gt;0,"X","-")</f>
        <v>-</v>
      </c>
      <c r="I38" s="219" t="str">
        <f>IF(SUM('Pro 2'!K37:K38)&lt;&gt;0,"X","-")</f>
        <v>-</v>
      </c>
      <c r="L38" s="178"/>
    </row>
    <row r="39" spans="1:16" x14ac:dyDescent="0.35">
      <c r="B39" s="175"/>
      <c r="C39" s="176"/>
      <c r="D39" s="176"/>
      <c r="E39" s="176"/>
      <c r="F39" s="176"/>
      <c r="G39" s="176"/>
      <c r="H39" s="176"/>
      <c r="I39" s="176"/>
      <c r="J39" s="176"/>
      <c r="K39" s="176"/>
      <c r="L39" s="177"/>
      <c r="M39" s="2"/>
    </row>
    <row r="40" spans="1:16" x14ac:dyDescent="0.35">
      <c r="B40" s="599" t="str">
        <f>'Pro 4'!B12</f>
        <v>EFFETS NÉGATIFS DES IMPORTATIONS</v>
      </c>
      <c r="C40" s="600"/>
      <c r="D40" s="600"/>
      <c r="E40" s="600"/>
      <c r="F40" s="600"/>
      <c r="G40" s="600"/>
      <c r="H40" s="600"/>
      <c r="I40" s="600"/>
      <c r="J40" s="600"/>
      <c r="K40" s="600"/>
      <c r="L40" s="601"/>
      <c r="M40" s="2"/>
    </row>
    <row r="41" spans="1:16" x14ac:dyDescent="0.35">
      <c r="B41" s="169"/>
      <c r="C41" s="170"/>
      <c r="D41" s="170"/>
      <c r="E41" s="170"/>
      <c r="F41" s="170"/>
      <c r="G41" s="170"/>
      <c r="H41" s="170"/>
      <c r="I41" s="170"/>
      <c r="J41" s="170"/>
      <c r="K41" s="170"/>
      <c r="L41" s="171"/>
      <c r="M41" s="2"/>
    </row>
    <row r="42" spans="1:16" x14ac:dyDescent="0.35">
      <c r="B42" s="602" t="str">
        <f>IF(Intro!$G$21="English",O42,P42)</f>
        <v>Note : L’information publique/non confidentielle dans ce tableau est générée automatiquement à partir de l’information fournie dans les lignes portant la mention « P » sous l’onglet « Pro 4 ». Par conséquent, toute modification à apporter à ce résumé public/non confidentiel doit être faite sous l’onglet « Pro 4 ».</v>
      </c>
      <c r="C42" s="603"/>
      <c r="D42" s="603"/>
      <c r="E42" s="603"/>
      <c r="F42" s="603"/>
      <c r="G42" s="603"/>
      <c r="H42" s="603"/>
      <c r="I42" s="603"/>
      <c r="J42" s="603"/>
      <c r="K42" s="603"/>
      <c r="L42" s="604"/>
      <c r="M42" s="2"/>
      <c r="O42" s="2" t="s">
        <v>385</v>
      </c>
      <c r="P42" s="2" t="s">
        <v>386</v>
      </c>
    </row>
    <row r="43" spans="1:16" x14ac:dyDescent="0.35">
      <c r="B43" s="602"/>
      <c r="C43" s="603"/>
      <c r="D43" s="603"/>
      <c r="E43" s="603"/>
      <c r="F43" s="603"/>
      <c r="G43" s="603"/>
      <c r="H43" s="603"/>
      <c r="I43" s="603"/>
      <c r="J43" s="603"/>
      <c r="K43" s="603"/>
      <c r="L43" s="604"/>
      <c r="M43" s="2"/>
    </row>
    <row r="44" spans="1:16" x14ac:dyDescent="0.35">
      <c r="B44" s="159"/>
      <c r="C44" s="26"/>
      <c r="D44" s="26"/>
      <c r="E44" s="26"/>
      <c r="F44" s="26"/>
      <c r="G44" s="26"/>
      <c r="H44" s="26"/>
      <c r="I44" s="26"/>
      <c r="J44" s="26"/>
      <c r="K44" s="26"/>
      <c r="L44" s="27"/>
      <c r="M44" s="2"/>
      <c r="O44" s="11"/>
    </row>
    <row r="45" spans="1:16" x14ac:dyDescent="0.35">
      <c r="B45" s="229" t="str">
        <f>'Pro 4'!B152</f>
        <v>Allegation</v>
      </c>
      <c r="C45" s="979">
        <v>1</v>
      </c>
      <c r="D45" s="979"/>
      <c r="E45" s="979">
        <v>2</v>
      </c>
      <c r="F45" s="979">
        <v>4</v>
      </c>
      <c r="G45" s="979">
        <v>3</v>
      </c>
      <c r="H45" s="979">
        <v>6</v>
      </c>
      <c r="I45" s="979">
        <v>4</v>
      </c>
      <c r="J45" s="979">
        <v>8</v>
      </c>
      <c r="K45" s="979">
        <v>5</v>
      </c>
      <c r="L45" s="980">
        <v>10</v>
      </c>
      <c r="M45" s="2"/>
      <c r="O45" s="11"/>
    </row>
    <row r="46" spans="1:16" s="3" customFormat="1" x14ac:dyDescent="0.35">
      <c r="A46" s="18"/>
      <c r="B46" s="815" t="str">
        <f>'Pro 4'!B153</f>
        <v>Renseignements généraux</v>
      </c>
      <c r="C46" s="720"/>
      <c r="D46" s="720"/>
      <c r="E46" s="720"/>
      <c r="F46" s="720"/>
      <c r="G46" s="720"/>
      <c r="H46" s="720"/>
      <c r="I46" s="720"/>
      <c r="J46" s="720"/>
      <c r="K46" s="720"/>
      <c r="L46" s="721"/>
      <c r="O46" s="4"/>
    </row>
    <row r="47" spans="1:16" x14ac:dyDescent="0.35">
      <c r="B47" s="628" t="str">
        <f>'Pro 4'!B160</f>
        <v>Nature du dommage allégué (P)</v>
      </c>
      <c r="C47" s="977" t="str">
        <f>IF('Pro 4'!C160="","-",'Pro 4'!C160)</f>
        <v>-</v>
      </c>
      <c r="D47" s="977"/>
      <c r="E47" s="977" t="str">
        <f>IF('Pro 4'!E160="","-",'Pro 4'!E160)</f>
        <v>-</v>
      </c>
      <c r="F47" s="977"/>
      <c r="G47" s="977" t="str">
        <f>IF('Pro 4'!G160="","-",'Pro 4'!G160)</f>
        <v>-</v>
      </c>
      <c r="H47" s="977"/>
      <c r="I47" s="977" t="str">
        <f>IF('Pro 4'!I160="","-",'Pro 4'!I160)</f>
        <v>-</v>
      </c>
      <c r="J47" s="977"/>
      <c r="K47" s="977" t="str">
        <f>IF('Pro 4'!K160="","-",'Pro 4'!K160)</f>
        <v>-</v>
      </c>
      <c r="L47" s="978"/>
      <c r="M47" s="2"/>
    </row>
    <row r="48" spans="1:16" x14ac:dyDescent="0.35">
      <c r="B48" s="628"/>
      <c r="C48" s="977"/>
      <c r="D48" s="977"/>
      <c r="E48" s="977"/>
      <c r="F48" s="977"/>
      <c r="G48" s="977"/>
      <c r="H48" s="977"/>
      <c r="I48" s="977"/>
      <c r="J48" s="977"/>
      <c r="K48" s="977"/>
      <c r="L48" s="978"/>
      <c r="M48" s="2"/>
    </row>
    <row r="49" spans="1:17" x14ac:dyDescent="0.35">
      <c r="B49" s="628"/>
      <c r="C49" s="977"/>
      <c r="D49" s="977"/>
      <c r="E49" s="977"/>
      <c r="F49" s="977"/>
      <c r="G49" s="977"/>
      <c r="H49" s="977"/>
      <c r="I49" s="977"/>
      <c r="J49" s="977"/>
      <c r="K49" s="977"/>
      <c r="L49" s="978"/>
      <c r="M49" s="2"/>
    </row>
    <row r="50" spans="1:17" s="3" customFormat="1" x14ac:dyDescent="0.35">
      <c r="A50" s="12"/>
      <c r="B50" s="815" t="str">
        <f>'Pro 4'!B163</f>
        <v>Offre du producteur national</v>
      </c>
      <c r="C50" s="720"/>
      <c r="D50" s="720"/>
      <c r="E50" s="720"/>
      <c r="F50" s="720"/>
      <c r="G50" s="720"/>
      <c r="H50" s="720"/>
      <c r="I50" s="720"/>
      <c r="J50" s="720"/>
      <c r="K50" s="720"/>
      <c r="L50" s="721"/>
      <c r="O50" s="4"/>
      <c r="P50" s="4"/>
      <c r="Q50" s="4"/>
    </row>
    <row r="51" spans="1:17" x14ac:dyDescent="0.35">
      <c r="B51" s="628" t="str">
        <f>'Pro 4'!B164</f>
        <v>Description du produit (P)</v>
      </c>
      <c r="C51" s="977" t="str">
        <f>IF('Pro 4'!C164="","-",'Pro 4'!C164)</f>
        <v>-</v>
      </c>
      <c r="D51" s="977"/>
      <c r="E51" s="977" t="str">
        <f>IF('Pro 4'!E164="","-",'Pro 4'!E164)</f>
        <v>-</v>
      </c>
      <c r="F51" s="977"/>
      <c r="G51" s="977" t="str">
        <f>IF('Pro 4'!G164="","-",'Pro 4'!G164)</f>
        <v>-</v>
      </c>
      <c r="H51" s="977"/>
      <c r="I51" s="977" t="str">
        <f>IF('Pro 4'!I164="","-",'Pro 4'!I164)</f>
        <v>-</v>
      </c>
      <c r="J51" s="977"/>
      <c r="K51" s="977" t="str">
        <f>IF('Pro 4'!K164="","-",'Pro 4'!K164)</f>
        <v>-</v>
      </c>
      <c r="L51" s="978"/>
      <c r="M51" s="2"/>
    </row>
    <row r="52" spans="1:17" x14ac:dyDescent="0.35">
      <c r="B52" s="628"/>
      <c r="C52" s="977"/>
      <c r="D52" s="977"/>
      <c r="E52" s="977"/>
      <c r="F52" s="977"/>
      <c r="G52" s="977"/>
      <c r="H52" s="977"/>
      <c r="I52" s="977"/>
      <c r="J52" s="977"/>
      <c r="K52" s="977"/>
      <c r="L52" s="978"/>
      <c r="M52" s="2"/>
      <c r="Q52" s="592"/>
    </row>
    <row r="53" spans="1:17" x14ac:dyDescent="0.35">
      <c r="B53" s="628"/>
      <c r="C53" s="977"/>
      <c r="D53" s="977"/>
      <c r="E53" s="977"/>
      <c r="F53" s="977"/>
      <c r="G53" s="977"/>
      <c r="H53" s="977"/>
      <c r="I53" s="977"/>
      <c r="J53" s="977"/>
      <c r="K53" s="977"/>
      <c r="L53" s="978"/>
      <c r="M53" s="2"/>
    </row>
    <row r="54" spans="1:17" x14ac:dyDescent="0.35">
      <c r="B54" s="628"/>
      <c r="C54" s="977"/>
      <c r="D54" s="977"/>
      <c r="E54" s="977"/>
      <c r="F54" s="977"/>
      <c r="G54" s="977"/>
      <c r="H54" s="977"/>
      <c r="I54" s="977"/>
      <c r="J54" s="977"/>
      <c r="K54" s="977"/>
      <c r="L54" s="978"/>
      <c r="M54" s="2"/>
    </row>
    <row r="55" spans="1:17" x14ac:dyDescent="0.35">
      <c r="B55" s="628" t="str">
        <f>'Pro 4'!B168</f>
        <v>Date de la transaction (P)</v>
      </c>
      <c r="C55" s="977" t="str">
        <f>IF('Pro 4'!C168="","-",'Pro 4'!C168)</f>
        <v>-</v>
      </c>
      <c r="D55" s="977"/>
      <c r="E55" s="977" t="str">
        <f>IF('Pro 4'!E168="","-",'Pro 4'!E168)</f>
        <v>-</v>
      </c>
      <c r="F55" s="977"/>
      <c r="G55" s="977" t="str">
        <f>IF('Pro 4'!G168="","-",'Pro 4'!G168)</f>
        <v>-</v>
      </c>
      <c r="H55" s="977"/>
      <c r="I55" s="977" t="str">
        <f>IF('Pro 4'!I168="","-",'Pro 4'!I168)</f>
        <v>-</v>
      </c>
      <c r="J55" s="977"/>
      <c r="K55" s="977" t="str">
        <f>IF('Pro 4'!K168="","-",'Pro 4'!K168)</f>
        <v>-</v>
      </c>
      <c r="L55" s="978"/>
      <c r="M55" s="2"/>
    </row>
    <row r="56" spans="1:17" x14ac:dyDescent="0.35">
      <c r="B56" s="628"/>
      <c r="C56" s="977"/>
      <c r="D56" s="977"/>
      <c r="E56" s="977"/>
      <c r="F56" s="977"/>
      <c r="G56" s="977"/>
      <c r="H56" s="977"/>
      <c r="I56" s="977"/>
      <c r="J56" s="977"/>
      <c r="K56" s="977"/>
      <c r="L56" s="978"/>
      <c r="M56" s="2"/>
    </row>
    <row r="57" spans="1:17" s="3" customFormat="1" x14ac:dyDescent="0.35">
      <c r="A57" s="12"/>
      <c r="B57" s="815" t="str">
        <f>'Pro 4'!B179</f>
        <v>Offre du concurrent</v>
      </c>
      <c r="C57" s="720"/>
      <c r="D57" s="720"/>
      <c r="E57" s="720"/>
      <c r="F57" s="720"/>
      <c r="G57" s="720"/>
      <c r="H57" s="720"/>
      <c r="I57" s="720"/>
      <c r="J57" s="720"/>
      <c r="K57" s="720"/>
      <c r="L57" s="721"/>
      <c r="O57" s="4"/>
    </row>
    <row r="58" spans="1:17" x14ac:dyDescent="0.35">
      <c r="B58" s="628" t="str">
        <f>'Pro 4'!B182</f>
        <v>Description du produit (P)</v>
      </c>
      <c r="C58" s="977" t="str">
        <f>IF('Pro 4'!C182="","-",'Pro 4'!C182)</f>
        <v>-</v>
      </c>
      <c r="D58" s="977"/>
      <c r="E58" s="977" t="str">
        <f>IF('Pro 4'!E182="","-",'Pro 4'!E182)</f>
        <v>-</v>
      </c>
      <c r="F58" s="977"/>
      <c r="G58" s="977" t="str">
        <f>IF('Pro 4'!G182="","-",'Pro 4'!G182)</f>
        <v>-</v>
      </c>
      <c r="H58" s="977"/>
      <c r="I58" s="977" t="str">
        <f>IF('Pro 4'!I182="","-",'Pro 4'!I182)</f>
        <v>-</v>
      </c>
      <c r="J58" s="977"/>
      <c r="K58" s="977" t="str">
        <f>IF('Pro 4'!K182="","-",'Pro 4'!K182)</f>
        <v>-</v>
      </c>
      <c r="L58" s="978"/>
      <c r="M58" s="2"/>
    </row>
    <row r="59" spans="1:17" x14ac:dyDescent="0.35">
      <c r="B59" s="628"/>
      <c r="C59" s="977"/>
      <c r="D59" s="977"/>
      <c r="E59" s="977"/>
      <c r="F59" s="977"/>
      <c r="G59" s="977"/>
      <c r="H59" s="977"/>
      <c r="I59" s="977"/>
      <c r="J59" s="977"/>
      <c r="K59" s="977"/>
      <c r="L59" s="978"/>
      <c r="M59" s="2"/>
    </row>
    <row r="60" spans="1:17" x14ac:dyDescent="0.35">
      <c r="B60" s="628"/>
      <c r="C60" s="977"/>
      <c r="D60" s="977"/>
      <c r="E60" s="977"/>
      <c r="F60" s="977"/>
      <c r="G60" s="977"/>
      <c r="H60" s="977"/>
      <c r="I60" s="977"/>
      <c r="J60" s="977"/>
      <c r="K60" s="977"/>
      <c r="L60" s="978"/>
      <c r="M60" s="2"/>
    </row>
    <row r="61" spans="1:17" x14ac:dyDescent="0.35">
      <c r="B61" s="628"/>
      <c r="C61" s="977"/>
      <c r="D61" s="977"/>
      <c r="E61" s="977"/>
      <c r="F61" s="977"/>
      <c r="G61" s="977"/>
      <c r="H61" s="977"/>
      <c r="I61" s="977"/>
      <c r="J61" s="977"/>
      <c r="K61" s="977"/>
      <c r="L61" s="978"/>
      <c r="M61" s="2"/>
    </row>
    <row r="62" spans="1:17" x14ac:dyDescent="0.35">
      <c r="B62" s="630" t="str">
        <f>'Pro 4'!B186</f>
        <v>Pays d'origine (P)</v>
      </c>
      <c r="C62" s="987" t="str">
        <f>IF('Pro 4'!C186="","-",'Pro 4'!C186)</f>
        <v>-</v>
      </c>
      <c r="D62" s="987"/>
      <c r="E62" s="987" t="str">
        <f>IF('Pro 4'!E186="","-",'Pro 4'!E186)</f>
        <v>-</v>
      </c>
      <c r="F62" s="987"/>
      <c r="G62" s="987" t="str">
        <f>IF('Pro 4'!G186="","-",'Pro 4'!G186)</f>
        <v>-</v>
      </c>
      <c r="H62" s="987"/>
      <c r="I62" s="987" t="str">
        <f>IF('Pro 4'!I186="","-",'Pro 4'!I186)</f>
        <v>-</v>
      </c>
      <c r="J62" s="987"/>
      <c r="K62" s="987" t="str">
        <f>IF('Pro 4'!K186="","-",'Pro 4'!K186)</f>
        <v>-</v>
      </c>
      <c r="L62" s="988"/>
      <c r="M62" s="2"/>
    </row>
    <row r="63" spans="1:17" x14ac:dyDescent="0.35">
      <c r="B63" s="634"/>
      <c r="C63" s="989"/>
      <c r="D63" s="989"/>
      <c r="E63" s="989"/>
      <c r="F63" s="989"/>
      <c r="G63" s="989"/>
      <c r="H63" s="989"/>
      <c r="I63" s="989"/>
      <c r="J63" s="989"/>
      <c r="K63" s="989"/>
      <c r="L63" s="990"/>
      <c r="M63" s="2"/>
    </row>
    <row r="64" spans="1:17" x14ac:dyDescent="0.35">
      <c r="B64" s="230"/>
      <c r="C64" s="200"/>
      <c r="D64" s="200"/>
      <c r="E64" s="200"/>
      <c r="F64" s="200"/>
      <c r="G64" s="200"/>
      <c r="H64" s="200"/>
      <c r="I64" s="200"/>
      <c r="J64" s="200"/>
      <c r="K64" s="200"/>
      <c r="L64" s="201"/>
      <c r="M64" s="2"/>
      <c r="O64" s="11"/>
    </row>
    <row r="65" spans="1:17" x14ac:dyDescent="0.35">
      <c r="B65" s="229" t="str">
        <f>B45</f>
        <v>Allegation</v>
      </c>
      <c r="C65" s="979">
        <v>6</v>
      </c>
      <c r="D65" s="979"/>
      <c r="E65" s="979">
        <v>7</v>
      </c>
      <c r="F65" s="979">
        <v>4</v>
      </c>
      <c r="G65" s="979">
        <v>8</v>
      </c>
      <c r="H65" s="979">
        <v>6</v>
      </c>
      <c r="I65" s="979">
        <v>9</v>
      </c>
      <c r="J65" s="979">
        <v>8</v>
      </c>
      <c r="K65" s="979">
        <v>10</v>
      </c>
      <c r="L65" s="980">
        <v>10</v>
      </c>
      <c r="M65" s="2"/>
      <c r="O65" s="11"/>
    </row>
    <row r="66" spans="1:17" s="3" customFormat="1" x14ac:dyDescent="0.35">
      <c r="A66" s="18"/>
      <c r="B66" s="984" t="str">
        <f>B46</f>
        <v>Renseignements généraux</v>
      </c>
      <c r="C66" s="985"/>
      <c r="D66" s="985"/>
      <c r="E66" s="985"/>
      <c r="F66" s="985"/>
      <c r="G66" s="985"/>
      <c r="H66" s="985"/>
      <c r="I66" s="985"/>
      <c r="J66" s="985"/>
      <c r="K66" s="985"/>
      <c r="L66" s="986"/>
      <c r="O66" s="4"/>
    </row>
    <row r="67" spans="1:17" x14ac:dyDescent="0.35">
      <c r="B67" s="628" t="str">
        <f>B47</f>
        <v>Nature du dommage allégué (P)</v>
      </c>
      <c r="C67" s="977" t="str">
        <f>IF('Pro 4'!C206="","-",'Pro 4'!C206)</f>
        <v>-</v>
      </c>
      <c r="D67" s="977"/>
      <c r="E67" s="977" t="str">
        <f>IF('Pro 4'!E206="","-",'Pro 4'!E206)</f>
        <v>-</v>
      </c>
      <c r="F67" s="977"/>
      <c r="G67" s="977" t="str">
        <f>IF('Pro 4'!G206="","-",'Pro 4'!G206)</f>
        <v>-</v>
      </c>
      <c r="H67" s="977"/>
      <c r="I67" s="977" t="str">
        <f>IF('Pro 4'!I206="","-",'Pro 4'!I206)</f>
        <v>-</v>
      </c>
      <c r="J67" s="977"/>
      <c r="K67" s="977" t="str">
        <f>IF('Pro 4'!K206="","-",'Pro 4'!K206)</f>
        <v>-</v>
      </c>
      <c r="L67" s="978"/>
      <c r="M67" s="2"/>
    </row>
    <row r="68" spans="1:17" x14ac:dyDescent="0.35">
      <c r="B68" s="628"/>
      <c r="C68" s="977"/>
      <c r="D68" s="977"/>
      <c r="E68" s="977"/>
      <c r="F68" s="977"/>
      <c r="G68" s="977"/>
      <c r="H68" s="977"/>
      <c r="I68" s="977"/>
      <c r="J68" s="977"/>
      <c r="K68" s="977"/>
      <c r="L68" s="978"/>
      <c r="M68" s="2"/>
    </row>
    <row r="69" spans="1:17" x14ac:dyDescent="0.35">
      <c r="B69" s="628"/>
      <c r="C69" s="977"/>
      <c r="D69" s="977"/>
      <c r="E69" s="977"/>
      <c r="F69" s="977"/>
      <c r="G69" s="977"/>
      <c r="H69" s="977"/>
      <c r="I69" s="977"/>
      <c r="J69" s="977"/>
      <c r="K69" s="977"/>
      <c r="L69" s="978"/>
      <c r="M69" s="2"/>
    </row>
    <row r="70" spans="1:17" s="3" customFormat="1" x14ac:dyDescent="0.35">
      <c r="A70" s="12"/>
      <c r="B70" s="815" t="str">
        <f>B50</f>
        <v>Offre du producteur national</v>
      </c>
      <c r="C70" s="720"/>
      <c r="D70" s="720"/>
      <c r="E70" s="720"/>
      <c r="F70" s="720"/>
      <c r="G70" s="720"/>
      <c r="H70" s="720"/>
      <c r="I70" s="720"/>
      <c r="J70" s="720"/>
      <c r="K70" s="720"/>
      <c r="L70" s="721"/>
      <c r="O70" s="4"/>
      <c r="P70" s="4"/>
      <c r="Q70" s="4"/>
    </row>
    <row r="71" spans="1:17" x14ac:dyDescent="0.35">
      <c r="B71" s="628" t="str">
        <f>B51</f>
        <v>Description du produit (P)</v>
      </c>
      <c r="C71" s="977" t="str">
        <f>IF('Pro 4'!C210="","-",'Pro 4'!C210)</f>
        <v>-</v>
      </c>
      <c r="D71" s="977"/>
      <c r="E71" s="977" t="str">
        <f>IF('Pro 4'!E210="","-",'Pro 4'!E210)</f>
        <v>-</v>
      </c>
      <c r="F71" s="977"/>
      <c r="G71" s="977" t="str">
        <f>IF('Pro 4'!G210="","-",'Pro 4'!G210)</f>
        <v>-</v>
      </c>
      <c r="H71" s="977"/>
      <c r="I71" s="977" t="str">
        <f>IF('Pro 4'!I210="","-",'Pro 4'!I210)</f>
        <v>-</v>
      </c>
      <c r="J71" s="977"/>
      <c r="K71" s="977" t="str">
        <f>IF('Pro 4'!K210="","-",'Pro 4'!K210)</f>
        <v>-</v>
      </c>
      <c r="L71" s="978"/>
      <c r="M71" s="2"/>
    </row>
    <row r="72" spans="1:17" x14ac:dyDescent="0.35">
      <c r="B72" s="628"/>
      <c r="C72" s="977"/>
      <c r="D72" s="977"/>
      <c r="E72" s="977"/>
      <c r="F72" s="977"/>
      <c r="G72" s="977"/>
      <c r="H72" s="977"/>
      <c r="I72" s="977"/>
      <c r="J72" s="977"/>
      <c r="K72" s="977"/>
      <c r="L72" s="978"/>
      <c r="M72" s="2"/>
    </row>
    <row r="73" spans="1:17" x14ac:dyDescent="0.35">
      <c r="B73" s="628"/>
      <c r="C73" s="977"/>
      <c r="D73" s="977"/>
      <c r="E73" s="977"/>
      <c r="F73" s="977"/>
      <c r="G73" s="977"/>
      <c r="H73" s="977"/>
      <c r="I73" s="977"/>
      <c r="J73" s="977"/>
      <c r="K73" s="977"/>
      <c r="L73" s="978"/>
      <c r="M73" s="2"/>
    </row>
    <row r="74" spans="1:17" x14ac:dyDescent="0.35">
      <c r="B74" s="628"/>
      <c r="C74" s="977"/>
      <c r="D74" s="977"/>
      <c r="E74" s="977"/>
      <c r="F74" s="977"/>
      <c r="G74" s="977"/>
      <c r="H74" s="977"/>
      <c r="I74" s="977"/>
      <c r="J74" s="977"/>
      <c r="K74" s="977"/>
      <c r="L74" s="978"/>
      <c r="M74" s="2"/>
    </row>
    <row r="75" spans="1:17" x14ac:dyDescent="0.35">
      <c r="B75" s="628" t="str">
        <f>B55</f>
        <v>Date de la transaction (P)</v>
      </c>
      <c r="C75" s="977" t="str">
        <f>IF('Pro 4'!C214="","-",'Pro 4'!C214)</f>
        <v>-</v>
      </c>
      <c r="D75" s="977"/>
      <c r="E75" s="977" t="str">
        <f>IF('Pro 4'!E214="","-",'Pro 4'!E214)</f>
        <v>-</v>
      </c>
      <c r="F75" s="977"/>
      <c r="G75" s="977" t="str">
        <f>IF('Pro 4'!G214="","-",'Pro 4'!G214)</f>
        <v>-</v>
      </c>
      <c r="H75" s="977"/>
      <c r="I75" s="977" t="str">
        <f>IF('Pro 4'!I214="","-",'Pro 4'!I214)</f>
        <v>-</v>
      </c>
      <c r="J75" s="977"/>
      <c r="K75" s="977" t="str">
        <f>IF('Pro 4'!K214="","-",'Pro 4'!K214)</f>
        <v>-</v>
      </c>
      <c r="L75" s="978"/>
      <c r="M75" s="2"/>
    </row>
    <row r="76" spans="1:17" x14ac:dyDescent="0.35">
      <c r="B76" s="628"/>
      <c r="C76" s="977"/>
      <c r="D76" s="977"/>
      <c r="E76" s="977"/>
      <c r="F76" s="977"/>
      <c r="G76" s="977"/>
      <c r="H76" s="977"/>
      <c r="I76" s="977"/>
      <c r="J76" s="977"/>
      <c r="K76" s="977"/>
      <c r="L76" s="978"/>
      <c r="M76" s="2"/>
    </row>
    <row r="77" spans="1:17" s="3" customFormat="1" x14ac:dyDescent="0.35">
      <c r="A77" s="12"/>
      <c r="B77" s="815" t="str">
        <f>B57</f>
        <v>Offre du concurrent</v>
      </c>
      <c r="C77" s="720"/>
      <c r="D77" s="720"/>
      <c r="E77" s="720"/>
      <c r="F77" s="720"/>
      <c r="G77" s="720"/>
      <c r="H77" s="720"/>
      <c r="I77" s="720"/>
      <c r="J77" s="720"/>
      <c r="K77" s="720"/>
      <c r="L77" s="721"/>
      <c r="O77" s="4"/>
    </row>
    <row r="78" spans="1:17" x14ac:dyDescent="0.35">
      <c r="B78" s="628" t="str">
        <f>B58</f>
        <v>Description du produit (P)</v>
      </c>
      <c r="C78" s="977" t="str">
        <f>IF('Pro 4'!C228="","-",'Pro 4'!C228)</f>
        <v>-</v>
      </c>
      <c r="D78" s="977"/>
      <c r="E78" s="977" t="str">
        <f>IF('Pro 4'!E228="","-",'Pro 4'!E228)</f>
        <v>-</v>
      </c>
      <c r="F78" s="977"/>
      <c r="G78" s="977" t="str">
        <f>IF('Pro 4'!G228="","-",'Pro 4'!G228)</f>
        <v>-</v>
      </c>
      <c r="H78" s="977"/>
      <c r="I78" s="977" t="str">
        <f>IF('Pro 4'!I228="","-",'Pro 4'!I228)</f>
        <v>-</v>
      </c>
      <c r="J78" s="977"/>
      <c r="K78" s="977" t="str">
        <f>IF('Pro 4'!K228="","-",'Pro 4'!K228)</f>
        <v>-</v>
      </c>
      <c r="L78" s="978"/>
      <c r="M78" s="2"/>
    </row>
    <row r="79" spans="1:17" x14ac:dyDescent="0.35">
      <c r="B79" s="628"/>
      <c r="C79" s="977"/>
      <c r="D79" s="977"/>
      <c r="E79" s="977"/>
      <c r="F79" s="977"/>
      <c r="G79" s="977"/>
      <c r="H79" s="977"/>
      <c r="I79" s="977"/>
      <c r="J79" s="977"/>
      <c r="K79" s="977"/>
      <c r="L79" s="978"/>
      <c r="M79" s="2"/>
    </row>
    <row r="80" spans="1:17" x14ac:dyDescent="0.35">
      <c r="B80" s="628"/>
      <c r="C80" s="977"/>
      <c r="D80" s="977"/>
      <c r="E80" s="977"/>
      <c r="F80" s="977"/>
      <c r="G80" s="977"/>
      <c r="H80" s="977"/>
      <c r="I80" s="977"/>
      <c r="J80" s="977"/>
      <c r="K80" s="977"/>
      <c r="L80" s="978"/>
      <c r="M80" s="2"/>
    </row>
    <row r="81" spans="2:13" x14ac:dyDescent="0.35">
      <c r="B81" s="628"/>
      <c r="C81" s="977"/>
      <c r="D81" s="977"/>
      <c r="E81" s="977"/>
      <c r="F81" s="977"/>
      <c r="G81" s="977"/>
      <c r="H81" s="977"/>
      <c r="I81" s="977"/>
      <c r="J81" s="977"/>
      <c r="K81" s="977"/>
      <c r="L81" s="978"/>
      <c r="M81" s="2"/>
    </row>
    <row r="82" spans="2:13" x14ac:dyDescent="0.35">
      <c r="B82" s="630" t="str">
        <f>B62</f>
        <v>Pays d'origine (P)</v>
      </c>
      <c r="C82" s="987" t="str">
        <f>IF('Pro 4'!C232="","-",'Pro 4'!C232)</f>
        <v>-</v>
      </c>
      <c r="D82" s="987"/>
      <c r="E82" s="987" t="str">
        <f>IF('Pro 4'!E232="","-",'Pro 4'!E232)</f>
        <v>-</v>
      </c>
      <c r="F82" s="987"/>
      <c r="G82" s="987" t="str">
        <f>IF('Pro 4'!G232="","-",'Pro 4'!G232)</f>
        <v>-</v>
      </c>
      <c r="H82" s="987"/>
      <c r="I82" s="987" t="str">
        <f>IF('Pro 4'!I232="","-",'Pro 4'!I232)</f>
        <v>-</v>
      </c>
      <c r="J82" s="987"/>
      <c r="K82" s="987" t="str">
        <f>IF('Pro 4'!K232="","-",'Pro 4'!K232)</f>
        <v>-</v>
      </c>
      <c r="L82" s="988"/>
      <c r="M82" s="2"/>
    </row>
    <row r="83" spans="2:13" x14ac:dyDescent="0.35">
      <c r="B83" s="634"/>
      <c r="C83" s="989"/>
      <c r="D83" s="989"/>
      <c r="E83" s="989"/>
      <c r="F83" s="989"/>
      <c r="G83" s="989"/>
      <c r="H83" s="989"/>
      <c r="I83" s="989"/>
      <c r="J83" s="989"/>
      <c r="K83" s="989"/>
      <c r="L83" s="990"/>
      <c r="M83" s="2"/>
    </row>
    <row r="84" spans="2:13" x14ac:dyDescent="0.35">
      <c r="B84" s="175"/>
      <c r="C84" s="176"/>
      <c r="D84" s="176"/>
      <c r="E84" s="176"/>
      <c r="F84" s="176"/>
      <c r="G84" s="176"/>
      <c r="H84" s="176"/>
      <c r="I84" s="176"/>
      <c r="J84" s="176"/>
      <c r="K84" s="176"/>
      <c r="L84" s="177"/>
      <c r="M84" s="2"/>
    </row>
  </sheetData>
  <sheetProtection algorithmName="SHA-512" hashValue="x59vD4Zo/BBOstIw5RF3JccSEIqFnY2rVKZurJoMWf5vxgHLCiCyz2WpiPh2qLZIAMV2dF4a45UPEMxelkRBDQ==" saltValue="UZNl3K6zcWqFrR5gBAJR7A==" spinCount="100000" sheet="1" objects="1" scenarios="1" selectLockedCells="1"/>
  <mergeCells count="100">
    <mergeCell ref="K78:L81"/>
    <mergeCell ref="B75:B76"/>
    <mergeCell ref="C75:D76"/>
    <mergeCell ref="E75:F76"/>
    <mergeCell ref="G75:H76"/>
    <mergeCell ref="I75:J76"/>
    <mergeCell ref="G62:H63"/>
    <mergeCell ref="I62:J63"/>
    <mergeCell ref="B70:L70"/>
    <mergeCell ref="B82:B83"/>
    <mergeCell ref="C82:D83"/>
    <mergeCell ref="E82:F83"/>
    <mergeCell ref="G82:H83"/>
    <mergeCell ref="I82:J83"/>
    <mergeCell ref="K82:L83"/>
    <mergeCell ref="K75:L76"/>
    <mergeCell ref="B77:L77"/>
    <mergeCell ref="B78:B81"/>
    <mergeCell ref="C78:D81"/>
    <mergeCell ref="E78:F81"/>
    <mergeCell ref="G78:H81"/>
    <mergeCell ref="I78:J81"/>
    <mergeCell ref="B57:L57"/>
    <mergeCell ref="B71:B74"/>
    <mergeCell ref="C71:D74"/>
    <mergeCell ref="E71:F74"/>
    <mergeCell ref="G71:H74"/>
    <mergeCell ref="I71:J74"/>
    <mergeCell ref="K71:L74"/>
    <mergeCell ref="B66:L66"/>
    <mergeCell ref="B67:B69"/>
    <mergeCell ref="C67:D69"/>
    <mergeCell ref="E67:F69"/>
    <mergeCell ref="G67:H69"/>
    <mergeCell ref="K62:L63"/>
    <mergeCell ref="B62:B63"/>
    <mergeCell ref="C62:D63"/>
    <mergeCell ref="E62:F63"/>
    <mergeCell ref="B4:L4"/>
    <mergeCell ref="B5:L5"/>
    <mergeCell ref="B6:L6"/>
    <mergeCell ref="B36:D36"/>
    <mergeCell ref="B37:D37"/>
    <mergeCell ref="B8:L8"/>
    <mergeCell ref="B9:L9"/>
    <mergeCell ref="B12:I12"/>
    <mergeCell ref="B13:I13"/>
    <mergeCell ref="B14:I14"/>
    <mergeCell ref="B15:I15"/>
    <mergeCell ref="B28:L28"/>
    <mergeCell ref="B17:L17"/>
    <mergeCell ref="B19:L26"/>
    <mergeCell ref="I33:I34"/>
    <mergeCell ref="B30:L31"/>
    <mergeCell ref="B50:L50"/>
    <mergeCell ref="I51:J54"/>
    <mergeCell ref="K51:L54"/>
    <mergeCell ref="B55:B56"/>
    <mergeCell ref="C55:D56"/>
    <mergeCell ref="E55:F56"/>
    <mergeCell ref="G55:H56"/>
    <mergeCell ref="I55:J56"/>
    <mergeCell ref="K55:L56"/>
    <mergeCell ref="C51:D54"/>
    <mergeCell ref="I67:J69"/>
    <mergeCell ref="K67:L69"/>
    <mergeCell ref="E51:F54"/>
    <mergeCell ref="B51:B54"/>
    <mergeCell ref="B58:B61"/>
    <mergeCell ref="G51:H54"/>
    <mergeCell ref="C58:D61"/>
    <mergeCell ref="E58:F61"/>
    <mergeCell ref="K65:L65"/>
    <mergeCell ref="G58:H61"/>
    <mergeCell ref="I58:J61"/>
    <mergeCell ref="C65:D65"/>
    <mergeCell ref="E65:F65"/>
    <mergeCell ref="G65:H65"/>
    <mergeCell ref="I65:J65"/>
    <mergeCell ref="K58:L61"/>
    <mergeCell ref="B40:L40"/>
    <mergeCell ref="B38:D38"/>
    <mergeCell ref="B42:L43"/>
    <mergeCell ref="B35:D35"/>
    <mergeCell ref="E33:E34"/>
    <mergeCell ref="F33:F34"/>
    <mergeCell ref="G33:G34"/>
    <mergeCell ref="H33:H34"/>
    <mergeCell ref="K47:L49"/>
    <mergeCell ref="B46:L46"/>
    <mergeCell ref="E45:F45"/>
    <mergeCell ref="G45:H45"/>
    <mergeCell ref="I45:J45"/>
    <mergeCell ref="K45:L45"/>
    <mergeCell ref="C45:D45"/>
    <mergeCell ref="B47:B49"/>
    <mergeCell ref="C47:D49"/>
    <mergeCell ref="E47:F49"/>
    <mergeCell ref="G47:H49"/>
    <mergeCell ref="I47:J49"/>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3527A223-705C-4CA3-9AA8-32D0E9876FC0}">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3" min="1"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AA1FA08-A491-4466-90D1-7E211E3418E9}">
          <x14:formula1>
            <xm:f>Variables!$D$54:$D$55</xm:f>
          </x14:formula1>
          <xm:sqref>J12:J15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11F71-548E-406D-8D5A-E0C337E06106}">
  <sheetPr>
    <tabColor rgb="FFFF0000"/>
  </sheetPr>
  <dimension ref="A2:AK19"/>
  <sheetViews>
    <sheetView workbookViewId="0"/>
  </sheetViews>
  <sheetFormatPr defaultRowHeight="14.5" x14ac:dyDescent="0.35"/>
  <cols>
    <col min="1" max="1" width="22.6328125" customWidth="1"/>
    <col min="2" max="2" width="12.36328125" hidden="1" customWidth="1"/>
    <col min="3" max="3" width="11.453125" customWidth="1"/>
    <col min="4" max="4" width="11.90625" bestFit="1" customWidth="1"/>
    <col min="5" max="7" width="5.36328125" hidden="1" customWidth="1"/>
    <col min="8" max="8" width="14.08984375" customWidth="1"/>
    <col min="9" max="9" width="16.453125" customWidth="1"/>
    <col min="10" max="10" width="16" bestFit="1" customWidth="1"/>
    <col min="11" max="11" width="25.54296875" customWidth="1"/>
    <col min="12" max="12" width="11.36328125" customWidth="1"/>
    <col min="13" max="13" width="20.08984375" customWidth="1"/>
    <col min="14" max="14" width="14.453125" customWidth="1"/>
    <col min="15" max="15" width="25.6328125" customWidth="1"/>
    <col min="16" max="16" width="0" hidden="1" customWidth="1"/>
    <col min="17" max="17" width="12.90625" bestFit="1" customWidth="1"/>
    <col min="18" max="21" width="13.453125" customWidth="1"/>
    <col min="22" max="22" width="10.90625" hidden="1" customWidth="1"/>
    <col min="23" max="27" width="12.54296875" customWidth="1"/>
    <col min="28" max="32" width="10.90625" customWidth="1"/>
  </cols>
  <sheetData>
    <row r="2" spans="1:37" ht="15" thickBot="1" x14ac:dyDescent="0.4"/>
    <row r="3" spans="1:37" ht="36.5" x14ac:dyDescent="0.35">
      <c r="A3" s="297" t="s">
        <v>474</v>
      </c>
      <c r="B3" s="298" t="s">
        <v>867</v>
      </c>
      <c r="C3" s="298" t="s">
        <v>475</v>
      </c>
      <c r="D3" s="298" t="s">
        <v>476</v>
      </c>
      <c r="E3" s="299" t="s">
        <v>868</v>
      </c>
      <c r="F3" s="299" t="s">
        <v>869</v>
      </c>
      <c r="G3" s="299" t="s">
        <v>870</v>
      </c>
      <c r="H3" s="298" t="s">
        <v>478</v>
      </c>
      <c r="I3" s="298" t="s">
        <v>479</v>
      </c>
      <c r="J3" s="300" t="s">
        <v>871</v>
      </c>
      <c r="K3" s="298" t="s">
        <v>480</v>
      </c>
      <c r="L3" s="301" t="s">
        <v>872</v>
      </c>
      <c r="M3" s="298" t="s">
        <v>537</v>
      </c>
      <c r="N3" s="298" t="s">
        <v>482</v>
      </c>
      <c r="O3" s="298" t="s">
        <v>483</v>
      </c>
      <c r="P3" s="298" t="s">
        <v>873</v>
      </c>
      <c r="Q3" s="302" t="s">
        <v>877</v>
      </c>
      <c r="R3" s="302" t="s">
        <v>878</v>
      </c>
      <c r="S3" s="302" t="s">
        <v>879</v>
      </c>
      <c r="T3" s="303" t="s">
        <v>880</v>
      </c>
      <c r="U3" s="303" t="s">
        <v>881</v>
      </c>
      <c r="V3" s="279" t="s">
        <v>874</v>
      </c>
      <c r="W3" s="304" t="s">
        <v>882</v>
      </c>
      <c r="X3" s="304" t="s">
        <v>883</v>
      </c>
      <c r="Y3" s="305" t="s">
        <v>884</v>
      </c>
      <c r="Z3" s="305" t="s">
        <v>885</v>
      </c>
      <c r="AA3" s="306" t="s">
        <v>886</v>
      </c>
      <c r="AB3" s="307" t="s">
        <v>887</v>
      </c>
      <c r="AC3" s="307" t="s">
        <v>888</v>
      </c>
      <c r="AD3" s="307" t="s">
        <v>889</v>
      </c>
      <c r="AE3" s="307" t="s">
        <v>890</v>
      </c>
      <c r="AF3" s="308" t="s">
        <v>891</v>
      </c>
      <c r="AG3" s="309" t="s">
        <v>892</v>
      </c>
      <c r="AH3" s="309" t="s">
        <v>893</v>
      </c>
      <c r="AI3" s="309" t="s">
        <v>894</v>
      </c>
      <c r="AJ3" s="309" t="s">
        <v>895</v>
      </c>
      <c r="AK3" s="310" t="s">
        <v>896</v>
      </c>
    </row>
    <row r="4" spans="1:37" x14ac:dyDescent="0.35">
      <c r="A4" s="311">
        <f>Intro!E98</f>
        <v>0</v>
      </c>
      <c r="B4" s="312">
        <f>A4</f>
        <v>0</v>
      </c>
      <c r="C4" s="312" t="s">
        <v>490</v>
      </c>
      <c r="D4" s="313" t="s">
        <v>875</v>
      </c>
      <c r="E4" s="314"/>
      <c r="F4" s="314"/>
      <c r="G4" s="314"/>
      <c r="H4" s="312" t="s">
        <v>515</v>
      </c>
      <c r="I4" s="312" t="s">
        <v>492</v>
      </c>
      <c r="J4" s="312" t="s">
        <v>492</v>
      </c>
      <c r="K4" s="312" t="s">
        <v>492</v>
      </c>
      <c r="L4" s="312"/>
      <c r="M4" s="312" t="s">
        <v>492</v>
      </c>
      <c r="N4" s="315" t="s">
        <v>494</v>
      </c>
      <c r="O4" s="312" t="s">
        <v>495</v>
      </c>
      <c r="P4" s="280" t="s">
        <v>491</v>
      </c>
      <c r="Q4" s="284">
        <f>'Pro 2'!G28</f>
        <v>0</v>
      </c>
      <c r="R4" s="284">
        <f>'Pro 2'!H28</f>
        <v>0</v>
      </c>
      <c r="S4" s="284">
        <f>'Pro 2'!I28</f>
        <v>0</v>
      </c>
      <c r="T4" s="284">
        <f>'Pro 2'!J28</f>
        <v>0</v>
      </c>
      <c r="U4" s="285">
        <f>'Pro 2'!K28</f>
        <v>0</v>
      </c>
      <c r="V4" s="286"/>
      <c r="W4" s="284">
        <f>'Pro 2'!G29/1000</f>
        <v>0</v>
      </c>
      <c r="X4" s="284">
        <f>'Pro 2'!H29/1000</f>
        <v>0</v>
      </c>
      <c r="Y4" s="284">
        <f>'Pro 2'!I29/1000</f>
        <v>0</v>
      </c>
      <c r="Z4" s="284">
        <f>'Pro 2'!J29/1000</f>
        <v>0</v>
      </c>
      <c r="AA4" s="286">
        <f>'Pro 2'!K29/1000</f>
        <v>0</v>
      </c>
      <c r="AB4" s="283">
        <f t="shared" ref="AB4:AF5" si="0">(IF(ISERROR(W4/Q4),0,W4/Q4))*1000</f>
        <v>0</v>
      </c>
      <c r="AC4" s="281">
        <f t="shared" si="0"/>
        <v>0</v>
      </c>
      <c r="AD4" s="281">
        <f t="shared" si="0"/>
        <v>0</v>
      </c>
      <c r="AE4" s="281">
        <f t="shared" si="0"/>
        <v>0</v>
      </c>
      <c r="AF4" s="282">
        <f>(IF(ISERROR(AA4/U4),0,AA4/U4))*1000</f>
        <v>0</v>
      </c>
      <c r="AG4" s="287">
        <f>W4*('Pro 2'!G$143/100)</f>
        <v>0</v>
      </c>
      <c r="AH4" s="288">
        <f>X4*('Pro 2'!H$143/100)</f>
        <v>0</v>
      </c>
      <c r="AI4" s="288">
        <f>Y4*('Pro 2'!I$143/100)</f>
        <v>0</v>
      </c>
      <c r="AJ4" s="288">
        <f>Z4*('Pro 2'!J$143/100)</f>
        <v>0</v>
      </c>
      <c r="AK4" s="289">
        <f>AA4*('Pro 2'!K$143/100)</f>
        <v>0</v>
      </c>
    </row>
    <row r="5" spans="1:37" ht="15" thickBot="1" x14ac:dyDescent="0.4">
      <c r="A5" s="316">
        <f>A4</f>
        <v>0</v>
      </c>
      <c r="B5" s="317">
        <f t="shared" ref="B5:D5" si="1">B4</f>
        <v>0</v>
      </c>
      <c r="C5" s="317" t="str">
        <f t="shared" si="1"/>
        <v>1 - Producer</v>
      </c>
      <c r="D5" s="317" t="str">
        <f t="shared" si="1"/>
        <v xml:space="preserve">- </v>
      </c>
      <c r="E5" s="318"/>
      <c r="F5" s="318"/>
      <c r="G5" s="318"/>
      <c r="H5" s="317" t="str">
        <f>H4</f>
        <v>A - DOM</v>
      </c>
      <c r="I5" s="317" t="s">
        <v>492</v>
      </c>
      <c r="J5" s="317" t="s">
        <v>492</v>
      </c>
      <c r="K5" s="317" t="s">
        <v>492</v>
      </c>
      <c r="L5" s="317"/>
      <c r="M5" s="317" t="s">
        <v>492</v>
      </c>
      <c r="N5" s="319" t="s">
        <v>494</v>
      </c>
      <c r="O5" s="317" t="s">
        <v>876</v>
      </c>
      <c r="P5" s="320" t="s">
        <v>491</v>
      </c>
      <c r="Q5" s="321">
        <f>'Pro 2'!G31</f>
        <v>0</v>
      </c>
      <c r="R5" s="321">
        <f>'Pro 2'!H31</f>
        <v>0</v>
      </c>
      <c r="S5" s="321">
        <f>'Pro 2'!I31</f>
        <v>0</v>
      </c>
      <c r="T5" s="321">
        <f>'Pro 2'!J31</f>
        <v>0</v>
      </c>
      <c r="U5" s="322">
        <f>'Pro 2'!K31</f>
        <v>0</v>
      </c>
      <c r="V5" s="323"/>
      <c r="W5" s="321">
        <f>'Pro 2'!G32/1000</f>
        <v>0</v>
      </c>
      <c r="X5" s="321">
        <f>'Pro 2'!H32/1000</f>
        <v>0</v>
      </c>
      <c r="Y5" s="321">
        <f>'Pro 2'!I32/1000</f>
        <v>0</v>
      </c>
      <c r="Z5" s="321">
        <f>'Pro 2'!J32/1000</f>
        <v>0</v>
      </c>
      <c r="AA5" s="323">
        <f>'Pro 2'!K32/1000</f>
        <v>0</v>
      </c>
      <c r="AB5" s="324">
        <f t="shared" si="0"/>
        <v>0</v>
      </c>
      <c r="AC5" s="325">
        <f t="shared" si="0"/>
        <v>0</v>
      </c>
      <c r="AD5" s="325">
        <f t="shared" si="0"/>
        <v>0</v>
      </c>
      <c r="AE5" s="325">
        <f t="shared" si="0"/>
        <v>0</v>
      </c>
      <c r="AF5" s="326">
        <f t="shared" si="0"/>
        <v>0</v>
      </c>
      <c r="AG5" s="327">
        <f>W5*('Pro 2'!G$143/100)</f>
        <v>0</v>
      </c>
      <c r="AH5" s="328">
        <f>X5*('Pro 2'!H$143/100)</f>
        <v>0</v>
      </c>
      <c r="AI5" s="328">
        <f>Y5*('Pro 2'!I$143/100)</f>
        <v>0</v>
      </c>
      <c r="AJ5" s="328">
        <f>Z5*('Pro 2'!J$143/100)</f>
        <v>0</v>
      </c>
      <c r="AK5" s="329">
        <f>AA5*('Pro 2'!K$143/100)</f>
        <v>0</v>
      </c>
    </row>
    <row r="14" spans="1:37" ht="15" thickBot="1" x14ac:dyDescent="0.4"/>
    <row r="15" spans="1:37" x14ac:dyDescent="0.35">
      <c r="I15" s="292" t="s">
        <v>897</v>
      </c>
      <c r="J15" s="293" t="s">
        <v>898</v>
      </c>
      <c r="K15" s="293" t="s">
        <v>899</v>
      </c>
      <c r="L15" s="294" t="s">
        <v>900</v>
      </c>
      <c r="M15" s="294" t="s">
        <v>901</v>
      </c>
      <c r="N15" s="294" t="s">
        <v>902</v>
      </c>
      <c r="O15" s="295" t="s">
        <v>903</v>
      </c>
      <c r="P15" s="296" t="s">
        <v>904</v>
      </c>
      <c r="Q15" s="290">
        <v>2023</v>
      </c>
      <c r="R15" s="290">
        <v>2024</v>
      </c>
      <c r="S15" s="290">
        <v>2025</v>
      </c>
      <c r="T15" s="290" t="s">
        <v>910</v>
      </c>
      <c r="U15" s="291" t="s">
        <v>911</v>
      </c>
    </row>
    <row r="16" spans="1:37" x14ac:dyDescent="0.35">
      <c r="I16" s="330">
        <f>A4</f>
        <v>0</v>
      </c>
      <c r="J16" s="331" t="s">
        <v>905</v>
      </c>
      <c r="K16" s="331" t="s">
        <v>40</v>
      </c>
      <c r="L16" s="332" t="s">
        <v>492</v>
      </c>
      <c r="M16" s="332" t="s">
        <v>492</v>
      </c>
      <c r="N16" s="332"/>
      <c r="O16" s="332" t="s">
        <v>491</v>
      </c>
      <c r="P16" s="333" t="s">
        <v>491</v>
      </c>
      <c r="Q16" s="353" t="str">
        <f>Confirm!E35</f>
        <v>-</v>
      </c>
      <c r="R16" s="334" t="str">
        <f>Confirm!F35</f>
        <v>-</v>
      </c>
      <c r="S16" s="334" t="str">
        <f>Confirm!G35</f>
        <v>-</v>
      </c>
      <c r="T16" s="334" t="str">
        <f>Confirm!H35</f>
        <v>-</v>
      </c>
      <c r="U16" s="335" t="str">
        <f>Confirm!I35</f>
        <v>-</v>
      </c>
    </row>
    <row r="17" spans="9:21" x14ac:dyDescent="0.35">
      <c r="I17" s="336">
        <f>I16</f>
        <v>0</v>
      </c>
      <c r="J17" s="42" t="str">
        <f>J16</f>
        <v xml:space="preserve">Domestic Producer   |  Producteur national </v>
      </c>
      <c r="K17" s="42" t="s">
        <v>906</v>
      </c>
      <c r="L17" s="337" t="s">
        <v>492</v>
      </c>
      <c r="M17" s="337" t="s">
        <v>492</v>
      </c>
      <c r="N17" s="337"/>
      <c r="O17" s="338" t="s">
        <v>491</v>
      </c>
      <c r="P17" s="339" t="s">
        <v>907</v>
      </c>
      <c r="Q17" s="340" t="str">
        <f>Confirm!E36</f>
        <v>-</v>
      </c>
      <c r="R17" s="340" t="str">
        <f>Confirm!F36</f>
        <v>-</v>
      </c>
      <c r="S17" s="340" t="str">
        <f>Confirm!G36</f>
        <v>-</v>
      </c>
      <c r="T17" s="340" t="str">
        <f>Confirm!H36</f>
        <v>-</v>
      </c>
      <c r="U17" s="341" t="str">
        <f>Confirm!I36</f>
        <v>-</v>
      </c>
    </row>
    <row r="18" spans="9:21" x14ac:dyDescent="0.35">
      <c r="I18" s="342">
        <f>I17</f>
        <v>0</v>
      </c>
      <c r="J18" s="343" t="str">
        <f t="shared" ref="J18:J19" si="2">J17</f>
        <v xml:space="preserve">Domestic Producer   |  Producteur national </v>
      </c>
      <c r="K18" s="343" t="s">
        <v>906</v>
      </c>
      <c r="L18" s="344" t="s">
        <v>492</v>
      </c>
      <c r="M18" s="344" t="s">
        <v>492</v>
      </c>
      <c r="N18" s="344"/>
      <c r="O18" s="345" t="s">
        <v>491</v>
      </c>
      <c r="P18" s="346" t="s">
        <v>908</v>
      </c>
      <c r="Q18" s="340" t="str">
        <f>Confirm!E37</f>
        <v>-</v>
      </c>
      <c r="R18" s="340" t="str">
        <f>Confirm!F37</f>
        <v>-</v>
      </c>
      <c r="S18" s="340" t="str">
        <f>Confirm!G37</f>
        <v>-</v>
      </c>
      <c r="T18" s="340" t="str">
        <f>Confirm!H37</f>
        <v>-</v>
      </c>
      <c r="U18" s="341" t="str">
        <f>Confirm!I37</f>
        <v>-</v>
      </c>
    </row>
    <row r="19" spans="9:21" ht="15" thickBot="1" x14ac:dyDescent="0.4">
      <c r="I19" s="347">
        <f>I18</f>
        <v>0</v>
      </c>
      <c r="J19" s="44" t="str">
        <f t="shared" si="2"/>
        <v xml:space="preserve">Domestic Producer   |  Producteur national </v>
      </c>
      <c r="K19" s="44" t="s">
        <v>909</v>
      </c>
      <c r="L19" s="348" t="s">
        <v>492</v>
      </c>
      <c r="M19" s="348" t="s">
        <v>492</v>
      </c>
      <c r="N19" s="348"/>
      <c r="O19" s="349" t="s">
        <v>491</v>
      </c>
      <c r="P19" s="350" t="s">
        <v>491</v>
      </c>
      <c r="Q19" s="351" t="str">
        <f>Confirm!E38</f>
        <v>-</v>
      </c>
      <c r="R19" s="351" t="str">
        <f>Confirm!F38</f>
        <v>-</v>
      </c>
      <c r="S19" s="351" t="str">
        <f>Confirm!G38</f>
        <v>-</v>
      </c>
      <c r="T19" s="351" t="str">
        <f>Confirm!H38</f>
        <v>-</v>
      </c>
      <c r="U19" s="352" t="str">
        <f>Confirm!I38</f>
        <v>-</v>
      </c>
    </row>
  </sheetData>
  <sheetProtection algorithmName="SHA-512" hashValue="6ihXjctK0vW/24iD5UJvH18J58V2b3oaEbpsrFUJijTfvD3FBg+MfMhpH5ZufEztvKb0x6N8QQvHCy84BBnu0g==" saltValue="7W8RPfF/ed1iLth8dQdcnA==" spinCount="100000" sheet="1" objects="1" scenarios="1" selectLockedCells="1"/>
  <dataValidations count="10">
    <dataValidation type="list" allowBlank="1" showInputMessage="1" showErrorMessage="1" sqref="N4:N5" xr:uid="{FB4363B8-92A0-4A40-B030-582CE99BBFFF}">
      <formula1>$N$1:$N$7</formula1>
    </dataValidation>
    <dataValidation type="list" allowBlank="1" showInputMessage="1" showErrorMessage="1" sqref="P4:P5" xr:uid="{91FFB5A7-456E-4F3E-B34E-1A48E62697B0}">
      <formula1>$P$1:$P$6</formula1>
    </dataValidation>
    <dataValidation type="list" allowBlank="1" showInputMessage="1" showErrorMessage="1" sqref="O4:O5" xr:uid="{5D70D3D8-D1DD-4557-9A2B-6D932FC8B34B}">
      <formula1>$O$1:$O$5</formula1>
    </dataValidation>
    <dataValidation type="list" allowBlank="1" showInputMessage="1" showErrorMessage="1" sqref="H5" xr:uid="{48C06F97-F482-46A3-B62A-B000EEB2E691}">
      <formula1>$H$3:$H$28</formula1>
    </dataValidation>
    <dataValidation type="list" allowBlank="1" showInputMessage="1" showErrorMessage="1" sqref="H4" xr:uid="{0BA845CA-6BA3-4237-92B2-D922A76BB868}">
      <formula1>$H$1:$H$28</formula1>
    </dataValidation>
    <dataValidation type="list" allowBlank="1" showInputMessage="1" showErrorMessage="1" sqref="D4" xr:uid="{389CFD79-B439-4459-9F42-B976320C455F}">
      <formula1>$D$1:$D$6</formula1>
    </dataValidation>
    <dataValidation type="list" allowBlank="1" showInputMessage="1" showErrorMessage="1" sqref="L16:L19" xr:uid="{9B9EDBE1-E7E3-4207-81A0-4EA18845569B}">
      <formula1>$D$1:$D$11</formula1>
    </dataValidation>
    <dataValidation type="list" allowBlank="1" showInputMessage="1" showErrorMessage="1" sqref="P16:P19" xr:uid="{9BFC2491-1038-42CC-9152-8C90193F2B4B}">
      <formula1>$H$1:$H$3</formula1>
    </dataValidation>
    <dataValidation type="list" allowBlank="1" showInputMessage="1" showErrorMessage="1" sqref="K16:K19" xr:uid="{E212C75B-AFB6-4B2A-BD3B-EF621891DADB}">
      <formula1>$C$1:$C$6</formula1>
    </dataValidation>
    <dataValidation type="list" allowBlank="1" showInputMessage="1" showErrorMessage="1" sqref="J16" xr:uid="{BE99E133-9F85-4C03-9B21-562EB50230B0}">
      <formula1>$B$1:$B$3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8F906-54B5-4232-9540-5DB6F6C72CB9}">
  <sheetPr>
    <tabColor rgb="FFFF0000"/>
  </sheetPr>
  <dimension ref="A2:X75"/>
  <sheetViews>
    <sheetView workbookViewId="0"/>
  </sheetViews>
  <sheetFormatPr defaultRowHeight="14.5" x14ac:dyDescent="0.35"/>
  <cols>
    <col min="2" max="2" width="4.54296875" customWidth="1"/>
    <col min="3" max="3" width="42.36328125" customWidth="1"/>
    <col min="4" max="4" width="9.08984375" hidden="1" customWidth="1"/>
    <col min="5" max="9" width="10" customWidth="1"/>
    <col min="10" max="10" width="5" customWidth="1"/>
    <col min="11" max="11" width="42.36328125" customWidth="1"/>
    <col min="12" max="12" width="4.54296875" customWidth="1"/>
    <col min="13" max="13" width="2.6328125" customWidth="1"/>
    <col min="14" max="14" width="4.54296875" customWidth="1"/>
    <col min="15" max="15" width="42.36328125" customWidth="1"/>
    <col min="16" max="16" width="0" hidden="1" customWidth="1"/>
    <col min="17" max="21" width="10.08984375" customWidth="1"/>
    <col min="22" max="22" width="5" customWidth="1"/>
    <col min="23" max="23" width="42.36328125" customWidth="1"/>
    <col min="24" max="24" width="4.54296875" customWidth="1"/>
  </cols>
  <sheetData>
    <row r="2" spans="1:24" ht="15" thickBot="1" x14ac:dyDescent="0.4">
      <c r="C2" s="993" t="s">
        <v>912</v>
      </c>
      <c r="D2" s="993"/>
      <c r="E2" s="993"/>
      <c r="F2" s="993"/>
      <c r="G2" s="993"/>
      <c r="H2" s="993"/>
      <c r="I2" s="993"/>
      <c r="J2" s="993"/>
      <c r="K2" s="993"/>
      <c r="O2" s="994" t="s">
        <v>913</v>
      </c>
      <c r="P2" s="994"/>
      <c r="Q2" s="994"/>
      <c r="R2" s="994"/>
      <c r="S2" s="994"/>
      <c r="T2" s="994"/>
      <c r="U2" s="994"/>
      <c r="V2" s="994"/>
      <c r="W2" s="994"/>
    </row>
    <row r="3" spans="1:24" x14ac:dyDescent="0.35">
      <c r="B3" s="354"/>
      <c r="C3" s="355"/>
      <c r="D3" s="355"/>
      <c r="E3" s="356"/>
      <c r="F3" s="356"/>
      <c r="G3" s="356"/>
      <c r="H3" s="356"/>
      <c r="I3" s="356"/>
      <c r="J3" s="356"/>
      <c r="K3" s="356"/>
      <c r="L3" s="357"/>
      <c r="M3" s="98"/>
      <c r="N3" s="354"/>
      <c r="O3" s="355"/>
      <c r="P3" s="355"/>
      <c r="Q3" s="356"/>
      <c r="R3" s="356"/>
      <c r="S3" s="356"/>
      <c r="T3" s="356"/>
      <c r="U3" s="356"/>
      <c r="V3" s="356"/>
      <c r="W3" s="356"/>
      <c r="X3" s="357"/>
    </row>
    <row r="4" spans="1:24" x14ac:dyDescent="0.35">
      <c r="A4" s="358"/>
      <c r="B4" s="359"/>
      <c r="C4" s="360"/>
      <c r="D4" s="360"/>
      <c r="E4" s="361"/>
      <c r="F4" s="361"/>
      <c r="G4" s="361"/>
      <c r="H4" s="361"/>
      <c r="I4" s="361"/>
      <c r="J4" s="361"/>
      <c r="K4" s="361"/>
      <c r="L4" s="362"/>
      <c r="M4" s="98"/>
      <c r="N4" s="359"/>
      <c r="O4" s="360"/>
      <c r="P4" s="360"/>
      <c r="Q4" s="361"/>
      <c r="R4" s="361"/>
      <c r="S4" s="361"/>
      <c r="T4" s="361"/>
      <c r="U4" s="361"/>
      <c r="V4" s="361"/>
      <c r="W4" s="361"/>
      <c r="X4" s="362"/>
    </row>
    <row r="5" spans="1:24" x14ac:dyDescent="0.35">
      <c r="A5" s="363"/>
      <c r="B5" s="359"/>
      <c r="C5" s="360"/>
      <c r="D5" s="360"/>
      <c r="E5" s="361"/>
      <c r="F5" s="361"/>
      <c r="G5" s="361"/>
      <c r="H5" s="992" t="s">
        <v>977</v>
      </c>
      <c r="I5" s="992"/>
      <c r="J5" s="364"/>
      <c r="K5" s="364"/>
      <c r="L5" s="362"/>
      <c r="M5" s="98"/>
      <c r="N5" s="359"/>
      <c r="O5" s="360"/>
      <c r="P5" s="360"/>
      <c r="Q5" s="361"/>
      <c r="R5" s="361"/>
      <c r="S5" s="361"/>
      <c r="T5" s="992" t="s">
        <v>977</v>
      </c>
      <c r="U5" s="992"/>
      <c r="V5" s="364"/>
      <c r="W5" s="364"/>
      <c r="X5" s="362"/>
    </row>
    <row r="6" spans="1:24" x14ac:dyDescent="0.35">
      <c r="A6" s="42"/>
      <c r="B6" s="365"/>
      <c r="C6" s="510">
        <f>Intro!E98</f>
        <v>0</v>
      </c>
      <c r="D6" s="366"/>
      <c r="E6" s="366">
        <v>2023</v>
      </c>
      <c r="F6" s="366">
        <v>2024</v>
      </c>
      <c r="G6" s="366">
        <v>2025</v>
      </c>
      <c r="H6" s="366">
        <v>2025</v>
      </c>
      <c r="I6" s="366">
        <v>2026</v>
      </c>
      <c r="J6" s="360"/>
      <c r="K6" s="360"/>
      <c r="L6" s="362"/>
      <c r="M6" s="98"/>
      <c r="N6" s="365"/>
      <c r="O6" s="510">
        <f>C6</f>
        <v>0</v>
      </c>
      <c r="P6" s="366"/>
      <c r="Q6" s="366">
        <v>2023</v>
      </c>
      <c r="R6" s="366">
        <v>2024</v>
      </c>
      <c r="S6" s="366">
        <v>2025</v>
      </c>
      <c r="T6" s="366">
        <v>2025</v>
      </c>
      <c r="U6" s="366">
        <v>2026</v>
      </c>
      <c r="V6" s="360"/>
      <c r="W6" s="360"/>
      <c r="X6" s="362"/>
    </row>
    <row r="7" spans="1:24" x14ac:dyDescent="0.35">
      <c r="A7" s="42"/>
      <c r="B7" s="365"/>
      <c r="C7" s="366" t="s">
        <v>364</v>
      </c>
      <c r="D7" s="366" t="s">
        <v>251</v>
      </c>
      <c r="E7" s="367"/>
      <c r="F7" s="367"/>
      <c r="G7" s="367"/>
      <c r="H7" s="367"/>
      <c r="I7" s="367"/>
      <c r="J7" s="367"/>
      <c r="K7" s="366" t="str">
        <f>D7</f>
        <v>Coût des marchandises fabriquées</v>
      </c>
      <c r="L7" s="362"/>
      <c r="M7" s="98"/>
      <c r="N7" s="365"/>
      <c r="O7" s="366" t="s">
        <v>435</v>
      </c>
      <c r="P7" s="366" t="s">
        <v>914</v>
      </c>
      <c r="Q7" s="368"/>
      <c r="R7" s="368"/>
      <c r="S7" s="368"/>
      <c r="T7" s="368"/>
      <c r="U7" s="368"/>
      <c r="V7" s="368"/>
      <c r="W7" s="366" t="str">
        <f>P7</f>
        <v>Coût des marchandises fabriquées¹</v>
      </c>
      <c r="X7" s="362"/>
    </row>
    <row r="8" spans="1:24" x14ac:dyDescent="0.35">
      <c r="A8" s="42"/>
      <c r="B8" s="365"/>
      <c r="C8" s="366"/>
      <c r="D8" s="366"/>
      <c r="E8" s="367"/>
      <c r="F8" s="367"/>
      <c r="G8" s="367"/>
      <c r="H8" s="367"/>
      <c r="I8" s="367"/>
      <c r="J8" s="367"/>
      <c r="K8" s="366"/>
      <c r="L8" s="362"/>
      <c r="M8" s="98"/>
      <c r="N8" s="365"/>
      <c r="O8" s="366"/>
      <c r="P8" s="366"/>
      <c r="Q8" s="368"/>
      <c r="R8" s="368"/>
      <c r="S8" s="368"/>
      <c r="T8" s="368"/>
      <c r="U8" s="368"/>
      <c r="V8" s="368"/>
      <c r="W8" s="366"/>
      <c r="X8" s="362"/>
    </row>
    <row r="9" spans="1:24" x14ac:dyDescent="0.35">
      <c r="B9" s="365"/>
      <c r="C9" s="369" t="s">
        <v>973</v>
      </c>
      <c r="D9" s="369" t="s">
        <v>975</v>
      </c>
      <c r="E9" s="367"/>
      <c r="F9" s="367"/>
      <c r="G9" s="367"/>
      <c r="H9" s="367"/>
      <c r="I9" s="367"/>
      <c r="J9" s="367"/>
      <c r="K9" s="369" t="str">
        <f>D9</f>
        <v>Mètres</v>
      </c>
      <c r="L9" s="362"/>
      <c r="M9" s="98"/>
      <c r="N9" s="365"/>
      <c r="O9" s="369" t="str">
        <f>C9</f>
        <v>Metres</v>
      </c>
      <c r="P9" s="369" t="str">
        <f>D9</f>
        <v>Mètres</v>
      </c>
      <c r="Q9" s="368"/>
      <c r="R9" s="368"/>
      <c r="S9" s="368"/>
      <c r="T9" s="368"/>
      <c r="U9" s="368"/>
      <c r="V9" s="368"/>
      <c r="W9" s="369" t="str">
        <f>P9</f>
        <v>Mètres</v>
      </c>
      <c r="X9" s="362"/>
    </row>
    <row r="10" spans="1:24" x14ac:dyDescent="0.35">
      <c r="B10" s="365"/>
      <c r="C10" s="370" t="s">
        <v>438</v>
      </c>
      <c r="D10" s="370" t="s">
        <v>915</v>
      </c>
      <c r="E10" s="371">
        <f>'Pro 3'!G23</f>
        <v>0</v>
      </c>
      <c r="F10" s="371">
        <f>'Pro 3'!H23</f>
        <v>0</v>
      </c>
      <c r="G10" s="371">
        <f>'Pro 3'!I23</f>
        <v>0</v>
      </c>
      <c r="H10" s="371">
        <f>'Pro 3'!J23</f>
        <v>0</v>
      </c>
      <c r="I10" s="371">
        <f>'Pro 3'!K23</f>
        <v>0</v>
      </c>
      <c r="J10" s="372"/>
      <c r="K10" s="370" t="str">
        <f t="shared" ref="K10:K54" si="0">D10</f>
        <v xml:space="preserve">Volume des marchandises fabriquées </v>
      </c>
      <c r="L10" s="362"/>
      <c r="M10" s="98"/>
      <c r="N10" s="365"/>
      <c r="O10" s="370" t="str">
        <f>C10</f>
        <v xml:space="preserve">Volume of goods manufactured </v>
      </c>
      <c r="P10" s="370" t="str">
        <f>D10</f>
        <v xml:space="preserve">Volume des marchandises fabriquées </v>
      </c>
      <c r="Q10" s="371">
        <f>'Pro 3'!G48</f>
        <v>0</v>
      </c>
      <c r="R10" s="371">
        <f>'Pro 3'!H48</f>
        <v>0</v>
      </c>
      <c r="S10" s="371">
        <f>'Pro 3'!I48</f>
        <v>0</v>
      </c>
      <c r="T10" s="371">
        <f>'Pro 3'!J48</f>
        <v>0</v>
      </c>
      <c r="U10" s="371">
        <f>'Pro 3'!K48</f>
        <v>0</v>
      </c>
      <c r="V10" s="372"/>
      <c r="W10" s="370" t="str">
        <f t="shared" ref="W10:W54" si="1">P10</f>
        <v xml:space="preserve">Volume des marchandises fabriquées </v>
      </c>
      <c r="X10" s="362"/>
    </row>
    <row r="11" spans="1:24" x14ac:dyDescent="0.35">
      <c r="B11" s="373"/>
      <c r="C11" s="374"/>
      <c r="D11" s="374"/>
      <c r="E11" s="375"/>
      <c r="F11" s="375"/>
      <c r="G11" s="375"/>
      <c r="H11" s="375"/>
      <c r="I11" s="375"/>
      <c r="J11" s="376"/>
      <c r="K11" s="374"/>
      <c r="L11" s="377"/>
      <c r="M11" s="378"/>
      <c r="N11" s="373"/>
      <c r="O11" s="374"/>
      <c r="P11" s="374"/>
      <c r="Q11" s="375"/>
      <c r="R11" s="375"/>
      <c r="S11" s="375"/>
      <c r="T11" s="375"/>
      <c r="U11" s="375"/>
      <c r="V11" s="376"/>
      <c r="W11" s="374"/>
      <c r="X11" s="377"/>
    </row>
    <row r="12" spans="1:24" x14ac:dyDescent="0.35">
      <c r="B12" s="365"/>
      <c r="C12" s="369" t="s">
        <v>436</v>
      </c>
      <c r="D12" s="369" t="s">
        <v>916</v>
      </c>
      <c r="E12" s="379"/>
      <c r="F12" s="379"/>
      <c r="G12" s="379"/>
      <c r="H12" s="379"/>
      <c r="I12" s="379"/>
      <c r="J12" s="372"/>
      <c r="K12" s="369" t="str">
        <f t="shared" si="0"/>
        <v>000 $</v>
      </c>
      <c r="L12" s="362"/>
      <c r="M12" s="98"/>
      <c r="N12" s="365"/>
      <c r="O12" s="369" t="str">
        <f t="shared" ref="O12:P18" si="2">C12</f>
        <v>$000</v>
      </c>
      <c r="P12" s="369" t="str">
        <f t="shared" si="2"/>
        <v>000 $</v>
      </c>
      <c r="Q12" s="379"/>
      <c r="R12" s="379"/>
      <c r="S12" s="379"/>
      <c r="T12" s="379"/>
      <c r="U12" s="379"/>
      <c r="V12" s="372"/>
      <c r="W12" s="369" t="str">
        <f t="shared" si="1"/>
        <v>000 $</v>
      </c>
      <c r="X12" s="362"/>
    </row>
    <row r="13" spans="1:24" x14ac:dyDescent="0.35">
      <c r="B13" s="365"/>
      <c r="C13" s="380" t="s">
        <v>162</v>
      </c>
      <c r="D13" s="380" t="s">
        <v>73</v>
      </c>
      <c r="E13" s="371">
        <f>'Pro 3'!G24/1000</f>
        <v>0</v>
      </c>
      <c r="F13" s="371">
        <f>'Pro 3'!H24/1000</f>
        <v>0</v>
      </c>
      <c r="G13" s="371">
        <f>'Pro 3'!I24/1000</f>
        <v>0</v>
      </c>
      <c r="H13" s="371">
        <f>'Pro 3'!J24/1000</f>
        <v>0</v>
      </c>
      <c r="I13" s="371">
        <f>'Pro 3'!K24/1000</f>
        <v>0</v>
      </c>
      <c r="J13" s="372"/>
      <c r="K13" s="380" t="str">
        <f t="shared" si="0"/>
        <v>Stock d'ouverture</v>
      </c>
      <c r="L13" s="362"/>
      <c r="M13" s="98"/>
      <c r="N13" s="365"/>
      <c r="O13" s="380" t="str">
        <f t="shared" si="2"/>
        <v>Beginning inventory</v>
      </c>
      <c r="P13" s="380" t="str">
        <f t="shared" si="2"/>
        <v>Stock d'ouverture</v>
      </c>
      <c r="Q13" s="371">
        <f>'Pro 3'!G49/1000</f>
        <v>0</v>
      </c>
      <c r="R13" s="371">
        <f>'Pro 3'!H49/1000</f>
        <v>0</v>
      </c>
      <c r="S13" s="371">
        <f>'Pro 3'!I49/1000</f>
        <v>0</v>
      </c>
      <c r="T13" s="371">
        <f>'Pro 3'!J49/1000</f>
        <v>0</v>
      </c>
      <c r="U13" s="371">
        <f>'Pro 3'!K49/1000</f>
        <v>0</v>
      </c>
      <c r="V13" s="372"/>
      <c r="W13" s="380" t="str">
        <f t="shared" si="1"/>
        <v>Stock d'ouverture</v>
      </c>
      <c r="X13" s="362"/>
    </row>
    <row r="14" spans="1:24" x14ac:dyDescent="0.35">
      <c r="B14" s="365"/>
      <c r="C14" s="380" t="s">
        <v>440</v>
      </c>
      <c r="D14" s="380" t="s">
        <v>917</v>
      </c>
      <c r="E14" s="371">
        <f>'Pro 3'!G29/1000</f>
        <v>0</v>
      </c>
      <c r="F14" s="371">
        <f>'Pro 3'!H29/1000</f>
        <v>0</v>
      </c>
      <c r="G14" s="371">
        <f>'Pro 3'!I29/1000</f>
        <v>0</v>
      </c>
      <c r="H14" s="371">
        <f>'Pro 3'!J29/1000</f>
        <v>0</v>
      </c>
      <c r="I14" s="371">
        <f>'Pro 3'!K29/1000</f>
        <v>0</v>
      </c>
      <c r="J14" s="372"/>
      <c r="K14" s="380" t="str">
        <f t="shared" si="0"/>
        <v>Matériaux directs utilisés</v>
      </c>
      <c r="L14" s="362"/>
      <c r="M14" s="98"/>
      <c r="N14" s="365"/>
      <c r="O14" s="380" t="str">
        <f t="shared" si="2"/>
        <v xml:space="preserve">Direct materials used </v>
      </c>
      <c r="P14" s="380" t="str">
        <f t="shared" si="2"/>
        <v>Matériaux directs utilisés</v>
      </c>
      <c r="Q14" s="371">
        <f>'Pro 3'!G54/1000</f>
        <v>0</v>
      </c>
      <c r="R14" s="371">
        <f>'Pro 3'!H54/1000</f>
        <v>0</v>
      </c>
      <c r="S14" s="371">
        <f>'Pro 3'!I54/1000</f>
        <v>0</v>
      </c>
      <c r="T14" s="371">
        <f>'Pro 3'!J54/1000</f>
        <v>0</v>
      </c>
      <c r="U14" s="371">
        <f>'Pro 3'!K54/1000</f>
        <v>0</v>
      </c>
      <c r="V14" s="372"/>
      <c r="W14" s="380" t="str">
        <f t="shared" si="1"/>
        <v>Matériaux directs utilisés</v>
      </c>
      <c r="X14" s="362"/>
    </row>
    <row r="15" spans="1:24" x14ac:dyDescent="0.35">
      <c r="B15" s="365"/>
      <c r="C15" s="380" t="s">
        <v>441</v>
      </c>
      <c r="D15" s="380" t="s">
        <v>67</v>
      </c>
      <c r="E15" s="371">
        <f>'Pro 3'!G30/1000</f>
        <v>0</v>
      </c>
      <c r="F15" s="371">
        <f>'Pro 3'!H30/1000</f>
        <v>0</v>
      </c>
      <c r="G15" s="371">
        <f>'Pro 3'!I30/1000</f>
        <v>0</v>
      </c>
      <c r="H15" s="371">
        <f>'Pro 3'!J30/1000</f>
        <v>0</v>
      </c>
      <c r="I15" s="371">
        <f>'Pro 3'!K30/1000</f>
        <v>0</v>
      </c>
      <c r="J15" s="372"/>
      <c r="K15" s="380" t="str">
        <f t="shared" si="0"/>
        <v>Emploi direct</v>
      </c>
      <c r="L15" s="362"/>
      <c r="M15" s="98"/>
      <c r="N15" s="365"/>
      <c r="O15" s="380" t="str">
        <f t="shared" si="2"/>
        <v>Direct labour</v>
      </c>
      <c r="P15" s="380" t="str">
        <f t="shared" si="2"/>
        <v>Emploi direct</v>
      </c>
      <c r="Q15" s="371">
        <f>'Pro 3'!G55/1000</f>
        <v>0</v>
      </c>
      <c r="R15" s="371">
        <f>'Pro 3'!H55/1000</f>
        <v>0</v>
      </c>
      <c r="S15" s="371">
        <f>'Pro 3'!I55/1000</f>
        <v>0</v>
      </c>
      <c r="T15" s="371">
        <f>'Pro 3'!J55/1000</f>
        <v>0</v>
      </c>
      <c r="U15" s="371">
        <f>'Pro 3'!K55/1000</f>
        <v>0</v>
      </c>
      <c r="V15" s="372"/>
      <c r="W15" s="380" t="str">
        <f t="shared" si="1"/>
        <v>Emploi direct</v>
      </c>
      <c r="X15" s="362"/>
    </row>
    <row r="16" spans="1:24" x14ac:dyDescent="0.35">
      <c r="B16" s="365"/>
      <c r="C16" s="380" t="s">
        <v>418</v>
      </c>
      <c r="D16" s="380" t="s">
        <v>918</v>
      </c>
      <c r="E16" s="371">
        <f>'Pro 3'!G31/1000</f>
        <v>0</v>
      </c>
      <c r="F16" s="371">
        <f>'Pro 3'!H31/1000</f>
        <v>0</v>
      </c>
      <c r="G16" s="371">
        <f>'Pro 3'!I31/1000</f>
        <v>0</v>
      </c>
      <c r="H16" s="371">
        <f>'Pro 3'!J31/1000</f>
        <v>0</v>
      </c>
      <c r="I16" s="371">
        <f>'Pro 3'!K31/1000</f>
        <v>0</v>
      </c>
      <c r="J16" s="372"/>
      <c r="K16" s="380" t="str">
        <f t="shared" si="0"/>
        <v>Coûts indirects de production</v>
      </c>
      <c r="L16" s="362"/>
      <c r="M16" s="98"/>
      <c r="N16" s="365"/>
      <c r="O16" s="380" t="str">
        <f t="shared" si="2"/>
        <v xml:space="preserve">Factory overhead </v>
      </c>
      <c r="P16" s="380" t="str">
        <f t="shared" si="2"/>
        <v>Coûts indirects de production</v>
      </c>
      <c r="Q16" s="371">
        <f>'Pro 3'!G56/1000</f>
        <v>0</v>
      </c>
      <c r="R16" s="371">
        <f>'Pro 3'!H56/1000</f>
        <v>0</v>
      </c>
      <c r="S16" s="371">
        <f>'Pro 3'!I56/1000</f>
        <v>0</v>
      </c>
      <c r="T16" s="371">
        <f>'Pro 3'!J56/1000</f>
        <v>0</v>
      </c>
      <c r="U16" s="371">
        <f>'Pro 3'!K56/1000</f>
        <v>0</v>
      </c>
      <c r="V16" s="372"/>
      <c r="W16" s="380" t="str">
        <f t="shared" si="1"/>
        <v>Coûts indirects de production</v>
      </c>
      <c r="X16" s="362"/>
    </row>
    <row r="17" spans="2:24" x14ac:dyDescent="0.35">
      <c r="B17" s="365"/>
      <c r="C17" s="380" t="s">
        <v>443</v>
      </c>
      <c r="D17" s="380" t="s">
        <v>919</v>
      </c>
      <c r="E17" s="371">
        <f>'Pro 3'!G32/1000</f>
        <v>0</v>
      </c>
      <c r="F17" s="371">
        <f>'Pro 3'!H32/1000</f>
        <v>0</v>
      </c>
      <c r="G17" s="371">
        <f>'Pro 3'!I32/1000</f>
        <v>0</v>
      </c>
      <c r="H17" s="371">
        <f>'Pro 3'!J32/1000</f>
        <v>0</v>
      </c>
      <c r="I17" s="371">
        <f>'Pro 3'!K32/1000</f>
        <v>0</v>
      </c>
      <c r="J17" s="372"/>
      <c r="K17" s="380" t="str">
        <f t="shared" si="0"/>
        <v>Moins : Stock de clôture</v>
      </c>
      <c r="L17" s="362"/>
      <c r="M17" s="98"/>
      <c r="N17" s="365"/>
      <c r="O17" s="380" t="str">
        <f t="shared" si="2"/>
        <v>Less: ending inventory</v>
      </c>
      <c r="P17" s="380" t="str">
        <f t="shared" si="2"/>
        <v>Moins : Stock de clôture</v>
      </c>
      <c r="Q17" s="371">
        <f>'Pro 3'!G57/1000</f>
        <v>0</v>
      </c>
      <c r="R17" s="371">
        <f>'Pro 3'!H57/1000</f>
        <v>0</v>
      </c>
      <c r="S17" s="371">
        <f>'Pro 3'!I57/1000</f>
        <v>0</v>
      </c>
      <c r="T17" s="371">
        <f>'Pro 3'!J57/1000</f>
        <v>0</v>
      </c>
      <c r="U17" s="371">
        <f>'Pro 3'!K57/1000</f>
        <v>0</v>
      </c>
      <c r="V17" s="372"/>
      <c r="W17" s="380" t="str">
        <f t="shared" si="1"/>
        <v>Moins : Stock de clôture</v>
      </c>
      <c r="X17" s="362"/>
    </row>
    <row r="18" spans="2:24" x14ac:dyDescent="0.35">
      <c r="B18" s="365"/>
      <c r="C18" s="381" t="s">
        <v>445</v>
      </c>
      <c r="D18" s="381" t="s">
        <v>251</v>
      </c>
      <c r="E18" s="382">
        <f>(E13+E14+E15+E16)-E17</f>
        <v>0</v>
      </c>
      <c r="F18" s="382">
        <f t="shared" ref="F18:I18" si="3">(F13+F14+F15+F16)-F17</f>
        <v>0</v>
      </c>
      <c r="G18" s="382">
        <f t="shared" si="3"/>
        <v>0</v>
      </c>
      <c r="H18" s="382">
        <f t="shared" si="3"/>
        <v>0</v>
      </c>
      <c r="I18" s="382">
        <f t="shared" si="3"/>
        <v>0</v>
      </c>
      <c r="J18" s="376"/>
      <c r="K18" s="381" t="str">
        <f t="shared" si="0"/>
        <v>Coût des marchandises fabriquées</v>
      </c>
      <c r="L18" s="362"/>
      <c r="M18" s="98"/>
      <c r="N18" s="365"/>
      <c r="O18" s="381" t="str">
        <f t="shared" si="2"/>
        <v xml:space="preserve">Cost of goods manufactured </v>
      </c>
      <c r="P18" s="381" t="str">
        <f t="shared" si="2"/>
        <v>Coût des marchandises fabriquées</v>
      </c>
      <c r="Q18" s="382">
        <f>(Q13+Q14+Q15+Q16)-Q17</f>
        <v>0</v>
      </c>
      <c r="R18" s="382">
        <f t="shared" ref="R18:U18" si="4">(R13+R14+R15+R16)-R17</f>
        <v>0</v>
      </c>
      <c r="S18" s="382">
        <f t="shared" si="4"/>
        <v>0</v>
      </c>
      <c r="T18" s="382">
        <f t="shared" si="4"/>
        <v>0</v>
      </c>
      <c r="U18" s="382">
        <f t="shared" si="4"/>
        <v>0</v>
      </c>
      <c r="V18" s="376"/>
      <c r="W18" s="381" t="str">
        <f t="shared" si="1"/>
        <v>Coût des marchandises fabriquées</v>
      </c>
      <c r="X18" s="362"/>
    </row>
    <row r="19" spans="2:24" x14ac:dyDescent="0.35">
      <c r="B19" s="383"/>
      <c r="C19" s="360"/>
      <c r="D19" s="360"/>
      <c r="E19" s="375"/>
      <c r="F19" s="375"/>
      <c r="G19" s="375"/>
      <c r="H19" s="375"/>
      <c r="I19" s="375"/>
      <c r="J19" s="376"/>
      <c r="K19" s="360"/>
      <c r="L19" s="362"/>
      <c r="M19" s="98"/>
      <c r="N19" s="383"/>
      <c r="O19" s="360"/>
      <c r="P19" s="360"/>
      <c r="Q19" s="375"/>
      <c r="R19" s="375"/>
      <c r="S19" s="375"/>
      <c r="T19" s="375"/>
      <c r="U19" s="375"/>
      <c r="V19" s="376"/>
      <c r="W19" s="360"/>
      <c r="X19" s="362"/>
    </row>
    <row r="20" spans="2:24" x14ac:dyDescent="0.35">
      <c r="B20" s="365"/>
      <c r="C20" s="384" t="s">
        <v>974</v>
      </c>
      <c r="D20" s="384" t="s">
        <v>976</v>
      </c>
      <c r="E20" s="379"/>
      <c r="F20" s="379"/>
      <c r="G20" s="379"/>
      <c r="H20" s="379"/>
      <c r="I20" s="379"/>
      <c r="J20" s="372"/>
      <c r="K20" s="384" t="str">
        <f t="shared" si="0"/>
        <v>$/mètres</v>
      </c>
      <c r="L20" s="362"/>
      <c r="M20" s="98"/>
      <c r="N20" s="365"/>
      <c r="O20" s="384" t="str">
        <f>C20</f>
        <v>$/metres</v>
      </c>
      <c r="P20" s="384" t="str">
        <f t="shared" ref="P20" si="5">D20</f>
        <v>$/mètres</v>
      </c>
      <c r="Q20" s="385"/>
      <c r="R20" s="379"/>
      <c r="S20" s="379"/>
      <c r="T20" s="379"/>
      <c r="U20" s="379"/>
      <c r="V20" s="372"/>
      <c r="W20" s="384" t="str">
        <f t="shared" si="1"/>
        <v>$/mètres</v>
      </c>
      <c r="X20" s="362"/>
    </row>
    <row r="21" spans="2:24" x14ac:dyDescent="0.35">
      <c r="B21" s="365"/>
      <c r="C21" s="386" t="str">
        <f t="shared" ref="C21:D26" si="6">C13</f>
        <v>Beginning inventory</v>
      </c>
      <c r="D21" s="386" t="str">
        <f t="shared" si="6"/>
        <v>Stock d'ouverture</v>
      </c>
      <c r="E21" s="387">
        <f>IF(OR(E$10="N/A",E13="N/A"),"N/A",IF(E$10=0,0,IF(ISERROR(E13/E$10),0,E13/E$10)))*1000</f>
        <v>0</v>
      </c>
      <c r="F21" s="387">
        <f t="shared" ref="E21:I26" si="7">IF(OR(F$10="N/A",F13="N/A"),"N/A",IF(F$10=0,0,IF(ISERROR(F13/F$10),0,F13/F$10)))*1000</f>
        <v>0</v>
      </c>
      <c r="G21" s="387">
        <f t="shared" si="7"/>
        <v>0</v>
      </c>
      <c r="H21" s="387">
        <f t="shared" si="7"/>
        <v>0</v>
      </c>
      <c r="I21" s="387">
        <f t="shared" si="7"/>
        <v>0</v>
      </c>
      <c r="J21" s="372"/>
      <c r="K21" s="386" t="str">
        <f t="shared" si="0"/>
        <v>Stock d'ouverture</v>
      </c>
      <c r="L21" s="362"/>
      <c r="M21" s="98"/>
      <c r="N21" s="365"/>
      <c r="O21" s="386" t="str">
        <f t="shared" ref="O21:P26" si="8">O13</f>
        <v>Beginning inventory</v>
      </c>
      <c r="P21" s="386" t="str">
        <f t="shared" si="8"/>
        <v>Stock d'ouverture</v>
      </c>
      <c r="Q21" s="387">
        <f t="shared" ref="Q21:U26" si="9">IF(OR(Q$10="N/A",Q13="N/A"),"N/A",IF(Q$10=0,0,IF(ISERROR(Q13/Q$10),0,Q13/Q$10)))*1000</f>
        <v>0</v>
      </c>
      <c r="R21" s="387">
        <f t="shared" si="9"/>
        <v>0</v>
      </c>
      <c r="S21" s="387">
        <f t="shared" si="9"/>
        <v>0</v>
      </c>
      <c r="T21" s="387">
        <f t="shared" si="9"/>
        <v>0</v>
      </c>
      <c r="U21" s="387">
        <f t="shared" si="9"/>
        <v>0</v>
      </c>
      <c r="V21" s="372"/>
      <c r="W21" s="386" t="str">
        <f t="shared" si="1"/>
        <v>Stock d'ouverture</v>
      </c>
      <c r="X21" s="362"/>
    </row>
    <row r="22" spans="2:24" x14ac:dyDescent="0.35">
      <c r="B22" s="365"/>
      <c r="C22" s="386" t="str">
        <f t="shared" si="6"/>
        <v xml:space="preserve">Direct materials used </v>
      </c>
      <c r="D22" s="386" t="str">
        <f t="shared" si="6"/>
        <v>Matériaux directs utilisés</v>
      </c>
      <c r="E22" s="387">
        <f t="shared" si="7"/>
        <v>0</v>
      </c>
      <c r="F22" s="387">
        <f t="shared" si="7"/>
        <v>0</v>
      </c>
      <c r="G22" s="387">
        <f t="shared" si="7"/>
        <v>0</v>
      </c>
      <c r="H22" s="387">
        <f t="shared" si="7"/>
        <v>0</v>
      </c>
      <c r="I22" s="387">
        <f t="shared" si="7"/>
        <v>0</v>
      </c>
      <c r="J22" s="372"/>
      <c r="K22" s="386" t="str">
        <f t="shared" si="0"/>
        <v>Matériaux directs utilisés</v>
      </c>
      <c r="L22" s="362"/>
      <c r="M22" s="98"/>
      <c r="N22" s="365"/>
      <c r="O22" s="386" t="str">
        <f t="shared" si="8"/>
        <v xml:space="preserve">Direct materials used </v>
      </c>
      <c r="P22" s="386" t="str">
        <f t="shared" si="8"/>
        <v>Matériaux directs utilisés</v>
      </c>
      <c r="Q22" s="387">
        <f>IF(OR(Q$10="N/A",Q14="N/A"),"N/A",IF(Q$10=0,0,IF(ISERROR(Q14/Q$10),0,Q14/Q$10)))*1000</f>
        <v>0</v>
      </c>
      <c r="R22" s="387">
        <f t="shared" si="9"/>
        <v>0</v>
      </c>
      <c r="S22" s="387">
        <f t="shared" si="9"/>
        <v>0</v>
      </c>
      <c r="T22" s="387">
        <f t="shared" si="9"/>
        <v>0</v>
      </c>
      <c r="U22" s="387">
        <f t="shared" si="9"/>
        <v>0</v>
      </c>
      <c r="V22" s="372"/>
      <c r="W22" s="386" t="str">
        <f t="shared" si="1"/>
        <v>Matériaux directs utilisés</v>
      </c>
      <c r="X22" s="362"/>
    </row>
    <row r="23" spans="2:24" x14ac:dyDescent="0.35">
      <c r="B23" s="365"/>
      <c r="C23" s="386" t="str">
        <f t="shared" si="6"/>
        <v>Direct labour</v>
      </c>
      <c r="D23" s="386" t="str">
        <f t="shared" si="6"/>
        <v>Emploi direct</v>
      </c>
      <c r="E23" s="387">
        <f t="shared" si="7"/>
        <v>0</v>
      </c>
      <c r="F23" s="387">
        <f t="shared" si="7"/>
        <v>0</v>
      </c>
      <c r="G23" s="387">
        <f t="shared" si="7"/>
        <v>0</v>
      </c>
      <c r="H23" s="387">
        <f t="shared" si="7"/>
        <v>0</v>
      </c>
      <c r="I23" s="387">
        <f t="shared" si="7"/>
        <v>0</v>
      </c>
      <c r="J23" s="372"/>
      <c r="K23" s="386" t="str">
        <f t="shared" si="0"/>
        <v>Emploi direct</v>
      </c>
      <c r="L23" s="362"/>
      <c r="M23" s="98"/>
      <c r="N23" s="365"/>
      <c r="O23" s="386" t="str">
        <f t="shared" si="8"/>
        <v>Direct labour</v>
      </c>
      <c r="P23" s="386" t="str">
        <f t="shared" si="8"/>
        <v>Emploi direct</v>
      </c>
      <c r="Q23" s="387">
        <f t="shared" si="9"/>
        <v>0</v>
      </c>
      <c r="R23" s="387">
        <f t="shared" si="9"/>
        <v>0</v>
      </c>
      <c r="S23" s="387">
        <f t="shared" si="9"/>
        <v>0</v>
      </c>
      <c r="T23" s="387">
        <f t="shared" si="9"/>
        <v>0</v>
      </c>
      <c r="U23" s="387">
        <f t="shared" si="9"/>
        <v>0</v>
      </c>
      <c r="V23" s="372"/>
      <c r="W23" s="386" t="str">
        <f t="shared" si="1"/>
        <v>Emploi direct</v>
      </c>
      <c r="X23" s="362"/>
    </row>
    <row r="24" spans="2:24" x14ac:dyDescent="0.35">
      <c r="B24" s="365"/>
      <c r="C24" s="386" t="str">
        <f t="shared" si="6"/>
        <v xml:space="preserve">Factory overhead </v>
      </c>
      <c r="D24" s="386" t="str">
        <f t="shared" si="6"/>
        <v>Coûts indirects de production</v>
      </c>
      <c r="E24" s="387">
        <f t="shared" si="7"/>
        <v>0</v>
      </c>
      <c r="F24" s="387">
        <f t="shared" si="7"/>
        <v>0</v>
      </c>
      <c r="G24" s="387">
        <f t="shared" si="7"/>
        <v>0</v>
      </c>
      <c r="H24" s="387">
        <f t="shared" si="7"/>
        <v>0</v>
      </c>
      <c r="I24" s="387">
        <f t="shared" si="7"/>
        <v>0</v>
      </c>
      <c r="J24" s="372"/>
      <c r="K24" s="386" t="str">
        <f t="shared" si="0"/>
        <v>Coûts indirects de production</v>
      </c>
      <c r="L24" s="362"/>
      <c r="M24" s="98"/>
      <c r="N24" s="365"/>
      <c r="O24" s="386" t="str">
        <f t="shared" si="8"/>
        <v xml:space="preserve">Factory overhead </v>
      </c>
      <c r="P24" s="386" t="str">
        <f t="shared" si="8"/>
        <v>Coûts indirects de production</v>
      </c>
      <c r="Q24" s="387">
        <f t="shared" si="9"/>
        <v>0</v>
      </c>
      <c r="R24" s="387">
        <f t="shared" si="9"/>
        <v>0</v>
      </c>
      <c r="S24" s="387">
        <f t="shared" si="9"/>
        <v>0</v>
      </c>
      <c r="T24" s="387">
        <f t="shared" si="9"/>
        <v>0</v>
      </c>
      <c r="U24" s="387">
        <f t="shared" si="9"/>
        <v>0</v>
      </c>
      <c r="V24" s="372"/>
      <c r="W24" s="386" t="str">
        <f t="shared" si="1"/>
        <v>Coûts indirects de production</v>
      </c>
      <c r="X24" s="362"/>
    </row>
    <row r="25" spans="2:24" x14ac:dyDescent="0.35">
      <c r="B25" s="365"/>
      <c r="C25" s="386" t="str">
        <f t="shared" si="6"/>
        <v>Less: ending inventory</v>
      </c>
      <c r="D25" s="386" t="str">
        <f t="shared" si="6"/>
        <v>Moins : Stock de clôture</v>
      </c>
      <c r="E25" s="387">
        <f t="shared" si="7"/>
        <v>0</v>
      </c>
      <c r="F25" s="387">
        <f t="shared" si="7"/>
        <v>0</v>
      </c>
      <c r="G25" s="387">
        <f t="shared" si="7"/>
        <v>0</v>
      </c>
      <c r="H25" s="387">
        <f t="shared" si="7"/>
        <v>0</v>
      </c>
      <c r="I25" s="387">
        <f t="shared" si="7"/>
        <v>0</v>
      </c>
      <c r="J25" s="372"/>
      <c r="K25" s="386" t="str">
        <f t="shared" si="0"/>
        <v>Moins : Stock de clôture</v>
      </c>
      <c r="L25" s="362"/>
      <c r="M25" s="98"/>
      <c r="N25" s="365"/>
      <c r="O25" s="386" t="str">
        <f t="shared" si="8"/>
        <v>Less: ending inventory</v>
      </c>
      <c r="P25" s="386" t="str">
        <f t="shared" si="8"/>
        <v>Moins : Stock de clôture</v>
      </c>
      <c r="Q25" s="387">
        <f t="shared" si="9"/>
        <v>0</v>
      </c>
      <c r="R25" s="387">
        <f t="shared" si="9"/>
        <v>0</v>
      </c>
      <c r="S25" s="387">
        <f t="shared" si="9"/>
        <v>0</v>
      </c>
      <c r="T25" s="387">
        <f t="shared" si="9"/>
        <v>0</v>
      </c>
      <c r="U25" s="387">
        <f t="shared" si="9"/>
        <v>0</v>
      </c>
      <c r="V25" s="372"/>
      <c r="W25" s="386" t="str">
        <f t="shared" si="1"/>
        <v>Moins : Stock de clôture</v>
      </c>
      <c r="X25" s="362"/>
    </row>
    <row r="26" spans="2:24" x14ac:dyDescent="0.35">
      <c r="B26" s="365"/>
      <c r="C26" s="381" t="str">
        <f t="shared" si="6"/>
        <v xml:space="preserve">Cost of goods manufactured </v>
      </c>
      <c r="D26" s="381" t="str">
        <f t="shared" si="6"/>
        <v>Coût des marchandises fabriquées</v>
      </c>
      <c r="E26" s="382">
        <f t="shared" si="7"/>
        <v>0</v>
      </c>
      <c r="F26" s="382">
        <f t="shared" si="7"/>
        <v>0</v>
      </c>
      <c r="G26" s="382">
        <f t="shared" si="7"/>
        <v>0</v>
      </c>
      <c r="H26" s="382">
        <f t="shared" si="7"/>
        <v>0</v>
      </c>
      <c r="I26" s="382">
        <f t="shared" si="7"/>
        <v>0</v>
      </c>
      <c r="J26" s="376"/>
      <c r="K26" s="381" t="str">
        <f t="shared" si="0"/>
        <v>Coût des marchandises fabriquées</v>
      </c>
      <c r="L26" s="362"/>
      <c r="M26" s="98"/>
      <c r="N26" s="365"/>
      <c r="O26" s="381" t="str">
        <f t="shared" si="8"/>
        <v xml:space="preserve">Cost of goods manufactured </v>
      </c>
      <c r="P26" s="381" t="str">
        <f t="shared" si="8"/>
        <v>Coût des marchandises fabriquées</v>
      </c>
      <c r="Q26" s="382">
        <f t="shared" si="9"/>
        <v>0</v>
      </c>
      <c r="R26" s="382">
        <f t="shared" si="9"/>
        <v>0</v>
      </c>
      <c r="S26" s="382">
        <f t="shared" si="9"/>
        <v>0</v>
      </c>
      <c r="T26" s="382">
        <f t="shared" si="9"/>
        <v>0</v>
      </c>
      <c r="U26" s="382">
        <f t="shared" si="9"/>
        <v>0</v>
      </c>
      <c r="V26" s="376"/>
      <c r="W26" s="381" t="str">
        <f t="shared" si="1"/>
        <v>Coût des marchandises fabriquées</v>
      </c>
      <c r="X26" s="362"/>
    </row>
    <row r="27" spans="2:24" x14ac:dyDescent="0.35">
      <c r="B27" s="383"/>
      <c r="C27" s="360"/>
      <c r="D27" s="360"/>
      <c r="E27" s="375"/>
      <c r="F27" s="375"/>
      <c r="G27" s="375"/>
      <c r="H27" s="375"/>
      <c r="I27" s="375"/>
      <c r="J27" s="376"/>
      <c r="K27" s="360"/>
      <c r="L27" s="362"/>
      <c r="M27" s="98"/>
      <c r="N27" s="383"/>
      <c r="O27" s="360"/>
      <c r="P27" s="360"/>
      <c r="Q27" s="375"/>
      <c r="R27" s="375"/>
      <c r="S27" s="375"/>
      <c r="T27" s="375"/>
      <c r="U27" s="375"/>
      <c r="V27" s="376"/>
      <c r="W27" s="360"/>
      <c r="X27" s="362"/>
    </row>
    <row r="28" spans="2:24" x14ac:dyDescent="0.35">
      <c r="B28" s="383"/>
      <c r="C28" s="366" t="s">
        <v>446</v>
      </c>
      <c r="D28" s="366" t="s">
        <v>920</v>
      </c>
      <c r="E28" s="375"/>
      <c r="F28" s="375"/>
      <c r="G28" s="375"/>
      <c r="H28" s="375"/>
      <c r="I28" s="375"/>
      <c r="J28" s="376"/>
      <c r="K28" s="366" t="str">
        <f t="shared" si="0"/>
        <v>État des résultats</v>
      </c>
      <c r="L28" s="362"/>
      <c r="M28" s="98"/>
      <c r="N28" s="383"/>
      <c r="O28" s="366" t="str">
        <f>C28</f>
        <v>Income statement</v>
      </c>
      <c r="P28" s="366" t="str">
        <f>D28</f>
        <v>État des résultats</v>
      </c>
      <c r="Q28" s="375"/>
      <c r="R28" s="375"/>
      <c r="S28" s="375"/>
      <c r="T28" s="375"/>
      <c r="U28" s="375"/>
      <c r="V28" s="376"/>
      <c r="W28" s="366" t="str">
        <f t="shared" si="1"/>
        <v>État des résultats</v>
      </c>
      <c r="X28" s="362"/>
    </row>
    <row r="29" spans="2:24" x14ac:dyDescent="0.35">
      <c r="B29" s="383"/>
      <c r="C29" s="366"/>
      <c r="D29" s="366"/>
      <c r="E29" s="375"/>
      <c r="F29" s="375"/>
      <c r="G29" s="375"/>
      <c r="H29" s="375"/>
      <c r="I29" s="375"/>
      <c r="J29" s="376"/>
      <c r="K29" s="366"/>
      <c r="L29" s="362"/>
      <c r="M29" s="98"/>
      <c r="N29" s="383"/>
      <c r="O29" s="366"/>
      <c r="P29" s="366"/>
      <c r="Q29" s="375"/>
      <c r="R29" s="375"/>
      <c r="S29" s="375"/>
      <c r="T29" s="375"/>
      <c r="U29" s="375"/>
      <c r="V29" s="376"/>
      <c r="W29" s="366"/>
      <c r="X29" s="362"/>
    </row>
    <row r="30" spans="2:24" x14ac:dyDescent="0.35">
      <c r="B30" s="365"/>
      <c r="C30" s="388" t="s">
        <v>971</v>
      </c>
      <c r="D30" s="388" t="s">
        <v>972</v>
      </c>
      <c r="E30" s="371">
        <f>'Pro 2'!G34</f>
        <v>0</v>
      </c>
      <c r="F30" s="371">
        <f>'Pro 2'!H34</f>
        <v>0</v>
      </c>
      <c r="G30" s="371">
        <f>'Pro 2'!I34</f>
        <v>0</v>
      </c>
      <c r="H30" s="371">
        <f>'Pro 2'!J34</f>
        <v>0</v>
      </c>
      <c r="I30" s="371">
        <f>'Pro 2'!K34</f>
        <v>0</v>
      </c>
      <c r="J30" s="372"/>
      <c r="K30" s="388" t="str">
        <f t="shared" si="0"/>
        <v>Volume de ventes nettes (mètres)</v>
      </c>
      <c r="L30" s="362"/>
      <c r="M30" s="98"/>
      <c r="N30" s="365"/>
      <c r="O30" s="388" t="str">
        <f>C30</f>
        <v>Net sales volume (metres)</v>
      </c>
      <c r="P30" s="388" t="str">
        <f>D30</f>
        <v>Volume de ventes nettes (mètres)</v>
      </c>
      <c r="Q30" s="371">
        <f>'Pro 2'!G37</f>
        <v>0</v>
      </c>
      <c r="R30" s="371">
        <f>'Pro 2'!H37</f>
        <v>0</v>
      </c>
      <c r="S30" s="371">
        <f>'Pro 2'!I37</f>
        <v>0</v>
      </c>
      <c r="T30" s="371">
        <f>'Pro 2'!J37</f>
        <v>0</v>
      </c>
      <c r="U30" s="371">
        <f>'Pro 2'!K37</f>
        <v>0</v>
      </c>
      <c r="V30" s="372"/>
      <c r="W30" s="388" t="str">
        <f t="shared" si="1"/>
        <v>Volume de ventes nettes (mètres)</v>
      </c>
      <c r="X30" s="362"/>
    </row>
    <row r="31" spans="2:24" x14ac:dyDescent="0.35">
      <c r="B31" s="383"/>
      <c r="C31" s="366"/>
      <c r="D31" s="366"/>
      <c r="E31" s="375"/>
      <c r="F31" s="375"/>
      <c r="G31" s="375"/>
      <c r="H31" s="375"/>
      <c r="I31" s="375"/>
      <c r="J31" s="376"/>
      <c r="K31" s="366"/>
      <c r="L31" s="362"/>
      <c r="M31" s="98"/>
      <c r="N31" s="383"/>
      <c r="O31" s="366"/>
      <c r="P31" s="366"/>
      <c r="Q31" s="375"/>
      <c r="R31" s="375"/>
      <c r="S31" s="375"/>
      <c r="T31" s="375"/>
      <c r="U31" s="375"/>
      <c r="V31" s="376"/>
      <c r="W31" s="366"/>
      <c r="X31" s="362"/>
    </row>
    <row r="32" spans="2:24" x14ac:dyDescent="0.35">
      <c r="B32" s="365"/>
      <c r="C32" s="369" t="s">
        <v>436</v>
      </c>
      <c r="D32" s="369" t="s">
        <v>916</v>
      </c>
      <c r="E32" s="379"/>
      <c r="F32" s="379"/>
      <c r="G32" s="379"/>
      <c r="H32" s="379"/>
      <c r="I32" s="379"/>
      <c r="J32" s="372"/>
      <c r="K32" s="369" t="str">
        <f t="shared" si="0"/>
        <v>000 $</v>
      </c>
      <c r="L32" s="362"/>
      <c r="M32" s="98"/>
      <c r="N32" s="365"/>
      <c r="O32" s="369" t="str">
        <f t="shared" ref="O32:P42" si="10">C32</f>
        <v>$000</v>
      </c>
      <c r="P32" s="369" t="str">
        <f t="shared" si="10"/>
        <v>000 $</v>
      </c>
      <c r="Q32" s="379"/>
      <c r="R32" s="379"/>
      <c r="S32" s="379"/>
      <c r="T32" s="379"/>
      <c r="U32" s="379"/>
      <c r="V32" s="372"/>
      <c r="W32" s="369" t="str">
        <f t="shared" si="1"/>
        <v>000 $</v>
      </c>
      <c r="X32" s="362"/>
    </row>
    <row r="33" spans="2:24" x14ac:dyDescent="0.35">
      <c r="B33" s="383"/>
      <c r="C33" s="389" t="s">
        <v>371</v>
      </c>
      <c r="D33" s="389" t="s">
        <v>921</v>
      </c>
      <c r="E33" s="390">
        <f>'Pro 3'!G187/1000</f>
        <v>0</v>
      </c>
      <c r="F33" s="390">
        <f>'Pro 3'!H187/1000</f>
        <v>0</v>
      </c>
      <c r="G33" s="390">
        <f>'Pro 3'!I187/1000</f>
        <v>0</v>
      </c>
      <c r="H33" s="390">
        <f>'Pro 3'!J187/1000</f>
        <v>0</v>
      </c>
      <c r="I33" s="390">
        <f>'Pro 3'!K187/1000</f>
        <v>0</v>
      </c>
      <c r="J33" s="376"/>
      <c r="K33" s="389" t="str">
        <f t="shared" si="0"/>
        <v>Valeur des ventes nettes</v>
      </c>
      <c r="L33" s="362"/>
      <c r="M33" s="98"/>
      <c r="N33" s="383"/>
      <c r="O33" s="389" t="str">
        <f t="shared" si="10"/>
        <v>Net sales value</v>
      </c>
      <c r="P33" s="389" t="str">
        <f t="shared" si="10"/>
        <v>Valeur des ventes nettes</v>
      </c>
      <c r="Q33" s="390">
        <f>'Pro 3'!G211/1000</f>
        <v>0</v>
      </c>
      <c r="R33" s="390">
        <f>'Pro 3'!H211/1000</f>
        <v>0</v>
      </c>
      <c r="S33" s="390">
        <f>'Pro 3'!I211/1000</f>
        <v>0</v>
      </c>
      <c r="T33" s="390">
        <f>'Pro 3'!J211/1000</f>
        <v>0</v>
      </c>
      <c r="U33" s="390">
        <f>'Pro 3'!K211/1000</f>
        <v>0</v>
      </c>
      <c r="V33" s="376"/>
      <c r="W33" s="389" t="str">
        <f t="shared" si="1"/>
        <v>Valeur des ventes nettes</v>
      </c>
      <c r="X33" s="362"/>
    </row>
    <row r="34" spans="2:24" x14ac:dyDescent="0.35">
      <c r="B34" s="365"/>
      <c r="C34" s="391" t="s">
        <v>162</v>
      </c>
      <c r="D34" s="391" t="s">
        <v>73</v>
      </c>
      <c r="E34" s="371">
        <f>'Pro 3'!G188/1000</f>
        <v>0</v>
      </c>
      <c r="F34" s="371">
        <f>'Pro 3'!H188/1000</f>
        <v>0</v>
      </c>
      <c r="G34" s="371">
        <f>'Pro 3'!I188/1000</f>
        <v>0</v>
      </c>
      <c r="H34" s="371">
        <f>'Pro 3'!J188/1000</f>
        <v>0</v>
      </c>
      <c r="I34" s="371">
        <f>'Pro 3'!K188/1000</f>
        <v>0</v>
      </c>
      <c r="J34" s="372"/>
      <c r="K34" s="391" t="str">
        <f t="shared" si="0"/>
        <v>Stock d'ouverture</v>
      </c>
      <c r="L34" s="362"/>
      <c r="M34" s="98"/>
      <c r="N34" s="365"/>
      <c r="O34" s="391" t="str">
        <f t="shared" si="10"/>
        <v>Beginning inventory</v>
      </c>
      <c r="P34" s="391" t="str">
        <f t="shared" si="10"/>
        <v>Stock d'ouverture</v>
      </c>
      <c r="Q34" s="371">
        <f>'Pro 3'!G212/1000</f>
        <v>0</v>
      </c>
      <c r="R34" s="371">
        <f>'Pro 3'!H212/1000</f>
        <v>0</v>
      </c>
      <c r="S34" s="371">
        <f>'Pro 3'!I212/1000</f>
        <v>0</v>
      </c>
      <c r="T34" s="371">
        <f>'Pro 3'!J212/1000</f>
        <v>0</v>
      </c>
      <c r="U34" s="371">
        <f>'Pro 3'!K212/1000</f>
        <v>0</v>
      </c>
      <c r="V34" s="372"/>
      <c r="W34" s="391" t="str">
        <f t="shared" si="1"/>
        <v>Stock d'ouverture</v>
      </c>
      <c r="X34" s="362"/>
    </row>
    <row r="35" spans="2:24" x14ac:dyDescent="0.35">
      <c r="B35" s="365"/>
      <c r="C35" s="392" t="s">
        <v>445</v>
      </c>
      <c r="D35" s="392" t="s">
        <v>251</v>
      </c>
      <c r="E35" s="387">
        <f>E18</f>
        <v>0</v>
      </c>
      <c r="F35" s="387">
        <f t="shared" ref="F35:I35" si="11">F18</f>
        <v>0</v>
      </c>
      <c r="G35" s="387">
        <f t="shared" si="11"/>
        <v>0</v>
      </c>
      <c r="H35" s="387">
        <f t="shared" si="11"/>
        <v>0</v>
      </c>
      <c r="I35" s="387">
        <f t="shared" si="11"/>
        <v>0</v>
      </c>
      <c r="J35" s="372"/>
      <c r="K35" s="392" t="str">
        <f t="shared" si="0"/>
        <v>Coût des marchandises fabriquées</v>
      </c>
      <c r="L35" s="362"/>
      <c r="M35" s="98"/>
      <c r="N35" s="365"/>
      <c r="O35" s="392" t="str">
        <f t="shared" si="10"/>
        <v xml:space="preserve">Cost of goods manufactured </v>
      </c>
      <c r="P35" s="392" t="str">
        <f t="shared" si="10"/>
        <v>Coût des marchandises fabriquées</v>
      </c>
      <c r="Q35" s="387">
        <f>Q18</f>
        <v>0</v>
      </c>
      <c r="R35" s="387">
        <f t="shared" ref="R35:U35" si="12">R18</f>
        <v>0</v>
      </c>
      <c r="S35" s="387">
        <f t="shared" si="12"/>
        <v>0</v>
      </c>
      <c r="T35" s="387">
        <f t="shared" si="12"/>
        <v>0</v>
      </c>
      <c r="U35" s="387">
        <f t="shared" si="12"/>
        <v>0</v>
      </c>
      <c r="V35" s="372"/>
      <c r="W35" s="392" t="str">
        <f t="shared" si="1"/>
        <v>Coût des marchandises fabriquées</v>
      </c>
      <c r="X35" s="362"/>
    </row>
    <row r="36" spans="2:24" x14ac:dyDescent="0.35">
      <c r="B36" s="365"/>
      <c r="C36" s="392" t="s">
        <v>163</v>
      </c>
      <c r="D36" s="392" t="s">
        <v>590</v>
      </c>
      <c r="E36" s="371">
        <f>'Pro 3'!G190/1000</f>
        <v>0</v>
      </c>
      <c r="F36" s="371">
        <f>'Pro 3'!H190/1000</f>
        <v>0</v>
      </c>
      <c r="G36" s="371">
        <f>'Pro 3'!I190/1000</f>
        <v>0</v>
      </c>
      <c r="H36" s="371">
        <f>'Pro 3'!J190/1000</f>
        <v>0</v>
      </c>
      <c r="I36" s="371">
        <f>'Pro 3'!K190/1000</f>
        <v>0</v>
      </c>
      <c r="J36" s="372"/>
      <c r="K36" s="392" t="str">
        <f t="shared" si="0"/>
        <v>Stock de clôture</v>
      </c>
      <c r="L36" s="393"/>
      <c r="M36" s="394"/>
      <c r="N36" s="365"/>
      <c r="O36" s="392" t="str">
        <f t="shared" si="10"/>
        <v>Ending inventory</v>
      </c>
      <c r="P36" s="392" t="str">
        <f t="shared" si="10"/>
        <v>Stock de clôture</v>
      </c>
      <c r="Q36" s="371">
        <f>'Pro 3'!G214/1000</f>
        <v>0</v>
      </c>
      <c r="R36" s="371">
        <f>'Pro 3'!H214/1000</f>
        <v>0</v>
      </c>
      <c r="S36" s="371">
        <f>'Pro 3'!I214/1000</f>
        <v>0</v>
      </c>
      <c r="T36" s="371">
        <f>'Pro 3'!J214/1000</f>
        <v>0</v>
      </c>
      <c r="U36" s="371">
        <f>'Pro 3'!K214/1000</f>
        <v>0</v>
      </c>
      <c r="V36" s="372"/>
      <c r="W36" s="392" t="str">
        <f t="shared" si="1"/>
        <v>Stock de clôture</v>
      </c>
      <c r="X36" s="393"/>
    </row>
    <row r="37" spans="2:24" x14ac:dyDescent="0.35">
      <c r="B37" s="365"/>
      <c r="C37" s="392" t="s">
        <v>365</v>
      </c>
      <c r="D37" s="392" t="s">
        <v>48</v>
      </c>
      <c r="E37" s="387">
        <f t="shared" ref="E37" si="13">(E34+E35)-E36</f>
        <v>0</v>
      </c>
      <c r="F37" s="387">
        <f t="shared" ref="F37:I37" si="14">(F34+F35)-F36</f>
        <v>0</v>
      </c>
      <c r="G37" s="387">
        <f t="shared" si="14"/>
        <v>0</v>
      </c>
      <c r="H37" s="387">
        <f t="shared" si="14"/>
        <v>0</v>
      </c>
      <c r="I37" s="387">
        <f t="shared" si="14"/>
        <v>0</v>
      </c>
      <c r="J37" s="372"/>
      <c r="K37" s="392" t="str">
        <f t="shared" si="0"/>
        <v>Coût des marchandises vendues</v>
      </c>
      <c r="L37" s="362"/>
      <c r="M37" s="98"/>
      <c r="N37" s="365"/>
      <c r="O37" s="392" t="str">
        <f t="shared" si="10"/>
        <v>Cost of goods sold</v>
      </c>
      <c r="P37" s="392" t="str">
        <f t="shared" si="10"/>
        <v>Coût des marchandises vendues</v>
      </c>
      <c r="Q37" s="387">
        <f>(Q34+Q35)-Q36</f>
        <v>0</v>
      </c>
      <c r="R37" s="387">
        <f t="shared" ref="R37:U37" si="15">(R34+R35)-R36</f>
        <v>0</v>
      </c>
      <c r="S37" s="387">
        <f t="shared" si="15"/>
        <v>0</v>
      </c>
      <c r="T37" s="387">
        <f t="shared" si="15"/>
        <v>0</v>
      </c>
      <c r="U37" s="387">
        <f t="shared" si="15"/>
        <v>0</v>
      </c>
      <c r="V37" s="372"/>
      <c r="W37" s="392" t="str">
        <f t="shared" si="1"/>
        <v>Coût des marchandises vendues</v>
      </c>
      <c r="X37" s="362"/>
    </row>
    <row r="38" spans="2:24" x14ac:dyDescent="0.35">
      <c r="B38" s="383"/>
      <c r="C38" s="389" t="s">
        <v>439</v>
      </c>
      <c r="D38" s="389" t="s">
        <v>922</v>
      </c>
      <c r="E38" s="382">
        <f t="shared" ref="E38" si="16">E33-E37</f>
        <v>0</v>
      </c>
      <c r="F38" s="382">
        <f t="shared" ref="F38:I38" si="17">F33-F37</f>
        <v>0</v>
      </c>
      <c r="G38" s="382">
        <f t="shared" si="17"/>
        <v>0</v>
      </c>
      <c r="H38" s="382">
        <f t="shared" si="17"/>
        <v>0</v>
      </c>
      <c r="I38" s="382">
        <f t="shared" si="17"/>
        <v>0</v>
      </c>
      <c r="J38" s="376"/>
      <c r="K38" s="389" t="str">
        <f t="shared" si="0"/>
        <v>Marge bénéficiaire brute (pertes)</v>
      </c>
      <c r="L38" s="393"/>
      <c r="M38" s="394"/>
      <c r="N38" s="383"/>
      <c r="O38" s="389" t="str">
        <f t="shared" si="10"/>
        <v>Gross margin (loss)</v>
      </c>
      <c r="P38" s="389" t="str">
        <f t="shared" si="10"/>
        <v>Marge bénéficiaire brute (pertes)</v>
      </c>
      <c r="Q38" s="382">
        <f>Q33-Q37</f>
        <v>0</v>
      </c>
      <c r="R38" s="382">
        <f t="shared" ref="R38:U38" si="18">R33-R37</f>
        <v>0</v>
      </c>
      <c r="S38" s="382">
        <f t="shared" si="18"/>
        <v>0</v>
      </c>
      <c r="T38" s="382">
        <f t="shared" si="18"/>
        <v>0</v>
      </c>
      <c r="U38" s="382">
        <f t="shared" si="18"/>
        <v>0</v>
      </c>
      <c r="V38" s="376"/>
      <c r="W38" s="389" t="str">
        <f t="shared" si="1"/>
        <v>Marge bénéficiaire brute (pertes)</v>
      </c>
      <c r="X38" s="393"/>
    </row>
    <row r="39" spans="2:24" ht="15" customHeight="1" x14ac:dyDescent="0.35">
      <c r="B39" s="365"/>
      <c r="C39" s="395" t="s">
        <v>368</v>
      </c>
      <c r="D39" s="395" t="s">
        <v>923</v>
      </c>
      <c r="E39" s="371">
        <f>'Pro 3'!G193/1000</f>
        <v>0</v>
      </c>
      <c r="F39" s="371">
        <f>'Pro 3'!H193/1000</f>
        <v>0</v>
      </c>
      <c r="G39" s="371">
        <f>'Pro 3'!I193/1000</f>
        <v>0</v>
      </c>
      <c r="H39" s="371">
        <f>'Pro 3'!J193/1000</f>
        <v>0</v>
      </c>
      <c r="I39" s="371">
        <f>'Pro 3'!K193/1000</f>
        <v>0</v>
      </c>
      <c r="J39" s="372"/>
      <c r="K39" s="395" t="str">
        <f t="shared" si="0"/>
        <v>Frais généraux, de vente et d’administration</v>
      </c>
      <c r="L39" s="362"/>
      <c r="M39" s="98"/>
      <c r="N39" s="365"/>
      <c r="O39" s="395" t="str">
        <f t="shared" si="10"/>
        <v>General, selling and administrative expenses</v>
      </c>
      <c r="P39" s="395" t="str">
        <f t="shared" si="10"/>
        <v>Frais généraux, de vente et d’administration</v>
      </c>
      <c r="Q39" s="371">
        <f>'Pro 3'!G217/1000</f>
        <v>0</v>
      </c>
      <c r="R39" s="371">
        <f>'Pro 3'!H217/1000</f>
        <v>0</v>
      </c>
      <c r="S39" s="371">
        <f>'Pro 3'!I217/1000</f>
        <v>0</v>
      </c>
      <c r="T39" s="371">
        <f>'Pro 3'!J217/1000</f>
        <v>0</v>
      </c>
      <c r="U39" s="371">
        <f>'Pro 3'!K217/1000</f>
        <v>0</v>
      </c>
      <c r="V39" s="372"/>
      <c r="W39" s="395" t="str">
        <f t="shared" si="1"/>
        <v>Frais généraux, de vente et d’administration</v>
      </c>
      <c r="X39" s="362"/>
    </row>
    <row r="40" spans="2:24" x14ac:dyDescent="0.35">
      <c r="B40" s="365"/>
      <c r="C40" s="392" t="s">
        <v>367</v>
      </c>
      <c r="D40" s="392" t="s">
        <v>54</v>
      </c>
      <c r="E40" s="371">
        <f>'Pro 3'!G194/1000</f>
        <v>0</v>
      </c>
      <c r="F40" s="371">
        <f>'Pro 3'!H194/1000</f>
        <v>0</v>
      </c>
      <c r="G40" s="371">
        <f>'Pro 3'!I194/1000</f>
        <v>0</v>
      </c>
      <c r="H40" s="371">
        <f>'Pro 3'!J194/1000</f>
        <v>0</v>
      </c>
      <c r="I40" s="371">
        <f>'Pro 3'!K194/1000</f>
        <v>0</v>
      </c>
      <c r="J40" s="372"/>
      <c r="K40" s="392" t="str">
        <f t="shared" si="0"/>
        <v>Charges financières</v>
      </c>
      <c r="L40" s="362"/>
      <c r="M40" s="98"/>
      <c r="N40" s="365"/>
      <c r="O40" s="392" t="str">
        <f t="shared" si="10"/>
        <v>Financial expenses</v>
      </c>
      <c r="P40" s="392" t="str">
        <f t="shared" si="10"/>
        <v>Charges financières</v>
      </c>
      <c r="Q40" s="371">
        <f>'Pro 3'!G218/1000</f>
        <v>0</v>
      </c>
      <c r="R40" s="371">
        <f>'Pro 3'!H218/1000</f>
        <v>0</v>
      </c>
      <c r="S40" s="371">
        <f>'Pro 3'!I218/1000</f>
        <v>0</v>
      </c>
      <c r="T40" s="371">
        <f>'Pro 3'!J218/1000</f>
        <v>0</v>
      </c>
      <c r="U40" s="371">
        <f>'Pro 3'!K218/1000</f>
        <v>0</v>
      </c>
      <c r="V40" s="372"/>
      <c r="W40" s="392" t="str">
        <f t="shared" si="1"/>
        <v>Charges financières</v>
      </c>
      <c r="X40" s="362"/>
    </row>
    <row r="41" spans="2:24" x14ac:dyDescent="0.35">
      <c r="B41" s="365"/>
      <c r="C41" s="392" t="s">
        <v>442</v>
      </c>
      <c r="D41" s="392" t="s">
        <v>115</v>
      </c>
      <c r="E41" s="371">
        <f>'Pro 3'!G195/1000</f>
        <v>0</v>
      </c>
      <c r="F41" s="371">
        <f>'Pro 3'!H195/1000</f>
        <v>0</v>
      </c>
      <c r="G41" s="371">
        <f>'Pro 3'!I195/1000</f>
        <v>0</v>
      </c>
      <c r="H41" s="371">
        <f>'Pro 3'!J195/1000</f>
        <v>0</v>
      </c>
      <c r="I41" s="371">
        <f>'Pro 3'!K195/1000</f>
        <v>0</v>
      </c>
      <c r="J41" s="372"/>
      <c r="K41" s="392" t="str">
        <f>D41</f>
        <v>Autres dépenses</v>
      </c>
      <c r="L41" s="362"/>
      <c r="M41" s="98"/>
      <c r="N41" s="365"/>
      <c r="O41" s="392" t="str">
        <f>C41</f>
        <v>Other expenses</v>
      </c>
      <c r="P41" s="392" t="str">
        <f>D41</f>
        <v>Autres dépenses</v>
      </c>
      <c r="Q41" s="371">
        <f>'Pro 3'!G219/1000</f>
        <v>0</v>
      </c>
      <c r="R41" s="371">
        <f>'Pro 3'!H219/1000</f>
        <v>0</v>
      </c>
      <c r="S41" s="371">
        <f>'Pro 3'!I219/1000</f>
        <v>0</v>
      </c>
      <c r="T41" s="371">
        <f>'Pro 3'!J219/1000</f>
        <v>0</v>
      </c>
      <c r="U41" s="371">
        <f>'Pro 3'!K219/1000</f>
        <v>0</v>
      </c>
      <c r="V41" s="372"/>
      <c r="W41" s="392" t="str">
        <f>P41</f>
        <v>Autres dépenses</v>
      </c>
      <c r="X41" s="362"/>
    </row>
    <row r="42" spans="2:24" x14ac:dyDescent="0.35">
      <c r="B42" s="383"/>
      <c r="C42" s="389" t="s">
        <v>444</v>
      </c>
      <c r="D42" s="389" t="s">
        <v>924</v>
      </c>
      <c r="E42" s="382">
        <f>E38-E39-E40-E41</f>
        <v>0</v>
      </c>
      <c r="F42" s="382">
        <f t="shared" ref="F42:I42" si="19">F38-F39-F40-F41</f>
        <v>0</v>
      </c>
      <c r="G42" s="382">
        <f t="shared" si="19"/>
        <v>0</v>
      </c>
      <c r="H42" s="382">
        <f t="shared" si="19"/>
        <v>0</v>
      </c>
      <c r="I42" s="382">
        <f t="shared" si="19"/>
        <v>0</v>
      </c>
      <c r="J42" s="376"/>
      <c r="K42" s="389" t="str">
        <f t="shared" si="0"/>
        <v>Revenus nets (pertes) avant impôt</v>
      </c>
      <c r="L42" s="362"/>
      <c r="M42" s="98"/>
      <c r="N42" s="383"/>
      <c r="O42" s="389" t="str">
        <f t="shared" si="10"/>
        <v>Net income (loss) before taxes</v>
      </c>
      <c r="P42" s="389" t="str">
        <f t="shared" si="10"/>
        <v>Revenus nets (pertes) avant impôt</v>
      </c>
      <c r="Q42" s="382">
        <f>Q38-Q39-Q40-Q41</f>
        <v>0</v>
      </c>
      <c r="R42" s="382">
        <f t="shared" ref="R42:U42" si="20">R38-R39-R40-R41</f>
        <v>0</v>
      </c>
      <c r="S42" s="382">
        <f t="shared" si="20"/>
        <v>0</v>
      </c>
      <c r="T42" s="382">
        <f t="shared" si="20"/>
        <v>0</v>
      </c>
      <c r="U42" s="382">
        <f t="shared" si="20"/>
        <v>0</v>
      </c>
      <c r="V42" s="376"/>
      <c r="W42" s="389" t="str">
        <f t="shared" si="1"/>
        <v>Revenus nets (pertes) avant impôt</v>
      </c>
      <c r="X42" s="362"/>
    </row>
    <row r="43" spans="2:24" x14ac:dyDescent="0.35">
      <c r="B43" s="383"/>
      <c r="C43" s="360"/>
      <c r="D43" s="360"/>
      <c r="E43" s="375"/>
      <c r="F43" s="375"/>
      <c r="G43" s="375"/>
      <c r="H43" s="375"/>
      <c r="I43" s="375"/>
      <c r="J43" s="376"/>
      <c r="K43" s="360"/>
      <c r="L43" s="362"/>
      <c r="M43" s="98"/>
      <c r="N43" s="383"/>
      <c r="O43" s="360"/>
      <c r="P43" s="360"/>
      <c r="Q43" s="375"/>
      <c r="R43" s="375"/>
      <c r="S43" s="375"/>
      <c r="T43" s="375"/>
      <c r="U43" s="375"/>
      <c r="V43" s="376"/>
      <c r="W43" s="360"/>
      <c r="X43" s="362"/>
    </row>
    <row r="44" spans="2:24" x14ac:dyDescent="0.35">
      <c r="B44" s="365"/>
      <c r="C44" s="384" t="str">
        <f>C20</f>
        <v>$/metres</v>
      </c>
      <c r="D44" s="384" t="str">
        <f>D20</f>
        <v>$/mètres</v>
      </c>
      <c r="E44" s="379"/>
      <c r="F44" s="379"/>
      <c r="G44" s="379"/>
      <c r="H44" s="379"/>
      <c r="I44" s="379"/>
      <c r="J44" s="372"/>
      <c r="K44" s="384" t="str">
        <f t="shared" si="0"/>
        <v>$/mètres</v>
      </c>
      <c r="L44" s="362"/>
      <c r="M44" s="98"/>
      <c r="N44" s="365"/>
      <c r="O44" s="384" t="str">
        <f>O20</f>
        <v>$/metres</v>
      </c>
      <c r="P44" s="384" t="str">
        <f>P20</f>
        <v>$/mètres</v>
      </c>
      <c r="Q44" s="379"/>
      <c r="R44" s="379"/>
      <c r="S44" s="379"/>
      <c r="T44" s="379"/>
      <c r="U44" s="379"/>
      <c r="V44" s="372"/>
      <c r="W44" s="384" t="str">
        <f t="shared" si="1"/>
        <v>$/mètres</v>
      </c>
      <c r="X44" s="362"/>
    </row>
    <row r="45" spans="2:24" x14ac:dyDescent="0.35">
      <c r="B45" s="383"/>
      <c r="C45" s="389" t="str">
        <f t="shared" ref="C45:D54" si="21">C33</f>
        <v>Net sales value</v>
      </c>
      <c r="D45" s="389" t="str">
        <f t="shared" si="21"/>
        <v>Valeur des ventes nettes</v>
      </c>
      <c r="E45" s="387">
        <f t="shared" ref="E45:I54" si="22">IF(OR(E$30="N/A",E33="N/A"),"N/A",IF(E$30=0,0,IF(ISERROR(E33/E$30),0,E33/E$30)))*1000</f>
        <v>0</v>
      </c>
      <c r="F45" s="387">
        <f t="shared" si="22"/>
        <v>0</v>
      </c>
      <c r="G45" s="387">
        <f t="shared" si="22"/>
        <v>0</v>
      </c>
      <c r="H45" s="387">
        <f t="shared" si="22"/>
        <v>0</v>
      </c>
      <c r="I45" s="387">
        <f t="shared" si="22"/>
        <v>0</v>
      </c>
      <c r="J45" s="372"/>
      <c r="K45" s="389" t="str">
        <f t="shared" si="0"/>
        <v>Valeur des ventes nettes</v>
      </c>
      <c r="L45" s="362"/>
      <c r="M45" s="98"/>
      <c r="N45" s="383"/>
      <c r="O45" s="389" t="str">
        <f t="shared" ref="O45:P54" si="23">O33</f>
        <v>Net sales value</v>
      </c>
      <c r="P45" s="389" t="str">
        <f t="shared" si="23"/>
        <v>Valeur des ventes nettes</v>
      </c>
      <c r="Q45" s="387">
        <f t="shared" ref="Q45:U54" si="24">IF(OR(Q$30="N/A",Q33="N/A"),"N/A",IF(Q$30=0,0,IF(ISERROR(Q33/Q$30),0,Q33/Q$30)))*1000</f>
        <v>0</v>
      </c>
      <c r="R45" s="387">
        <f t="shared" si="24"/>
        <v>0</v>
      </c>
      <c r="S45" s="387">
        <f t="shared" si="24"/>
        <v>0</v>
      </c>
      <c r="T45" s="387">
        <f t="shared" si="24"/>
        <v>0</v>
      </c>
      <c r="U45" s="387">
        <f t="shared" si="24"/>
        <v>0</v>
      </c>
      <c r="V45" s="372"/>
      <c r="W45" s="389" t="str">
        <f t="shared" si="1"/>
        <v>Valeur des ventes nettes</v>
      </c>
      <c r="X45" s="362"/>
    </row>
    <row r="46" spans="2:24" x14ac:dyDescent="0.35">
      <c r="B46" s="365"/>
      <c r="C46" s="391" t="str">
        <f t="shared" si="21"/>
        <v>Beginning inventory</v>
      </c>
      <c r="D46" s="391" t="str">
        <f t="shared" si="21"/>
        <v>Stock d'ouverture</v>
      </c>
      <c r="E46" s="387">
        <f t="shared" si="22"/>
        <v>0</v>
      </c>
      <c r="F46" s="387">
        <f t="shared" si="22"/>
        <v>0</v>
      </c>
      <c r="G46" s="387">
        <f t="shared" si="22"/>
        <v>0</v>
      </c>
      <c r="H46" s="387">
        <f t="shared" si="22"/>
        <v>0</v>
      </c>
      <c r="I46" s="387">
        <f t="shared" si="22"/>
        <v>0</v>
      </c>
      <c r="J46" s="372"/>
      <c r="K46" s="391" t="str">
        <f t="shared" si="0"/>
        <v>Stock d'ouverture</v>
      </c>
      <c r="L46" s="362"/>
      <c r="M46" s="98"/>
      <c r="N46" s="365"/>
      <c r="O46" s="391" t="str">
        <f t="shared" si="23"/>
        <v>Beginning inventory</v>
      </c>
      <c r="P46" s="391" t="str">
        <f t="shared" si="23"/>
        <v>Stock d'ouverture</v>
      </c>
      <c r="Q46" s="387">
        <f t="shared" si="24"/>
        <v>0</v>
      </c>
      <c r="R46" s="387">
        <f t="shared" si="24"/>
        <v>0</v>
      </c>
      <c r="S46" s="387">
        <f t="shared" si="24"/>
        <v>0</v>
      </c>
      <c r="T46" s="387">
        <f t="shared" si="24"/>
        <v>0</v>
      </c>
      <c r="U46" s="387">
        <f t="shared" si="24"/>
        <v>0</v>
      </c>
      <c r="V46" s="372"/>
      <c r="W46" s="391" t="str">
        <f t="shared" si="1"/>
        <v>Stock d'ouverture</v>
      </c>
      <c r="X46" s="362"/>
    </row>
    <row r="47" spans="2:24" x14ac:dyDescent="0.35">
      <c r="B47" s="365"/>
      <c r="C47" s="392" t="str">
        <f t="shared" si="21"/>
        <v xml:space="preserve">Cost of goods manufactured </v>
      </c>
      <c r="D47" s="392" t="str">
        <f t="shared" si="21"/>
        <v>Coût des marchandises fabriquées</v>
      </c>
      <c r="E47" s="387">
        <f t="shared" si="22"/>
        <v>0</v>
      </c>
      <c r="F47" s="387">
        <f t="shared" si="22"/>
        <v>0</v>
      </c>
      <c r="G47" s="387">
        <f t="shared" si="22"/>
        <v>0</v>
      </c>
      <c r="H47" s="387">
        <f t="shared" si="22"/>
        <v>0</v>
      </c>
      <c r="I47" s="387">
        <f t="shared" si="22"/>
        <v>0</v>
      </c>
      <c r="J47" s="372"/>
      <c r="K47" s="392" t="str">
        <f t="shared" si="0"/>
        <v>Coût des marchandises fabriquées</v>
      </c>
      <c r="L47" s="362"/>
      <c r="M47" s="98"/>
      <c r="N47" s="365"/>
      <c r="O47" s="392" t="str">
        <f t="shared" si="23"/>
        <v xml:space="preserve">Cost of goods manufactured </v>
      </c>
      <c r="P47" s="392" t="str">
        <f t="shared" si="23"/>
        <v>Coût des marchandises fabriquées</v>
      </c>
      <c r="Q47" s="387">
        <f t="shared" si="24"/>
        <v>0</v>
      </c>
      <c r="R47" s="387">
        <f t="shared" si="24"/>
        <v>0</v>
      </c>
      <c r="S47" s="387">
        <f t="shared" si="24"/>
        <v>0</v>
      </c>
      <c r="T47" s="387">
        <f t="shared" si="24"/>
        <v>0</v>
      </c>
      <c r="U47" s="387">
        <f t="shared" si="24"/>
        <v>0</v>
      </c>
      <c r="V47" s="372"/>
      <c r="W47" s="392" t="str">
        <f t="shared" si="1"/>
        <v>Coût des marchandises fabriquées</v>
      </c>
      <c r="X47" s="362"/>
    </row>
    <row r="48" spans="2:24" x14ac:dyDescent="0.35">
      <c r="B48" s="365"/>
      <c r="C48" s="392" t="str">
        <f t="shared" si="21"/>
        <v>Ending inventory</v>
      </c>
      <c r="D48" s="392" t="str">
        <f t="shared" si="21"/>
        <v>Stock de clôture</v>
      </c>
      <c r="E48" s="387">
        <f t="shared" si="22"/>
        <v>0</v>
      </c>
      <c r="F48" s="387">
        <f t="shared" si="22"/>
        <v>0</v>
      </c>
      <c r="G48" s="387">
        <f t="shared" si="22"/>
        <v>0</v>
      </c>
      <c r="H48" s="387">
        <f t="shared" si="22"/>
        <v>0</v>
      </c>
      <c r="I48" s="387">
        <f t="shared" si="22"/>
        <v>0</v>
      </c>
      <c r="J48" s="372"/>
      <c r="K48" s="392" t="str">
        <f t="shared" si="0"/>
        <v>Stock de clôture</v>
      </c>
      <c r="L48" s="393"/>
      <c r="M48" s="394"/>
      <c r="N48" s="365"/>
      <c r="O48" s="392" t="str">
        <f t="shared" si="23"/>
        <v>Ending inventory</v>
      </c>
      <c r="P48" s="392" t="str">
        <f t="shared" si="23"/>
        <v>Stock de clôture</v>
      </c>
      <c r="Q48" s="387">
        <f t="shared" si="24"/>
        <v>0</v>
      </c>
      <c r="R48" s="387">
        <f t="shared" si="24"/>
        <v>0</v>
      </c>
      <c r="S48" s="387">
        <f t="shared" si="24"/>
        <v>0</v>
      </c>
      <c r="T48" s="387">
        <f t="shared" si="24"/>
        <v>0</v>
      </c>
      <c r="U48" s="387">
        <f t="shared" si="24"/>
        <v>0</v>
      </c>
      <c r="V48" s="372"/>
      <c r="W48" s="392" t="str">
        <f t="shared" si="1"/>
        <v>Stock de clôture</v>
      </c>
      <c r="X48" s="393"/>
    </row>
    <row r="49" spans="2:24" x14ac:dyDescent="0.35">
      <c r="B49" s="365"/>
      <c r="C49" s="392" t="str">
        <f t="shared" si="21"/>
        <v>Cost of goods sold</v>
      </c>
      <c r="D49" s="392" t="str">
        <f t="shared" si="21"/>
        <v>Coût des marchandises vendues</v>
      </c>
      <c r="E49" s="387">
        <f t="shared" si="22"/>
        <v>0</v>
      </c>
      <c r="F49" s="387">
        <f t="shared" si="22"/>
        <v>0</v>
      </c>
      <c r="G49" s="387">
        <f t="shared" si="22"/>
        <v>0</v>
      </c>
      <c r="H49" s="387">
        <f t="shared" si="22"/>
        <v>0</v>
      </c>
      <c r="I49" s="387">
        <f t="shared" si="22"/>
        <v>0</v>
      </c>
      <c r="J49" s="372"/>
      <c r="K49" s="392" t="str">
        <f t="shared" si="0"/>
        <v>Coût des marchandises vendues</v>
      </c>
      <c r="L49" s="362"/>
      <c r="M49" s="98"/>
      <c r="N49" s="365"/>
      <c r="O49" s="392" t="str">
        <f t="shared" si="23"/>
        <v>Cost of goods sold</v>
      </c>
      <c r="P49" s="392" t="str">
        <f t="shared" si="23"/>
        <v>Coût des marchandises vendues</v>
      </c>
      <c r="Q49" s="387">
        <f t="shared" si="24"/>
        <v>0</v>
      </c>
      <c r="R49" s="387">
        <f t="shared" si="24"/>
        <v>0</v>
      </c>
      <c r="S49" s="387">
        <f t="shared" si="24"/>
        <v>0</v>
      </c>
      <c r="T49" s="387">
        <f t="shared" si="24"/>
        <v>0</v>
      </c>
      <c r="U49" s="387">
        <f t="shared" si="24"/>
        <v>0</v>
      </c>
      <c r="V49" s="372"/>
      <c r="W49" s="392" t="str">
        <f t="shared" si="1"/>
        <v>Coût des marchandises vendues</v>
      </c>
      <c r="X49" s="362"/>
    </row>
    <row r="50" spans="2:24" x14ac:dyDescent="0.35">
      <c r="B50" s="383"/>
      <c r="C50" s="389" t="str">
        <f t="shared" si="21"/>
        <v>Gross margin (loss)</v>
      </c>
      <c r="D50" s="389" t="str">
        <f t="shared" si="21"/>
        <v>Marge bénéficiaire brute (pertes)</v>
      </c>
      <c r="E50" s="382">
        <f t="shared" si="22"/>
        <v>0</v>
      </c>
      <c r="F50" s="382">
        <f t="shared" si="22"/>
        <v>0</v>
      </c>
      <c r="G50" s="382">
        <f t="shared" si="22"/>
        <v>0</v>
      </c>
      <c r="H50" s="382">
        <f t="shared" si="22"/>
        <v>0</v>
      </c>
      <c r="I50" s="382">
        <f t="shared" si="22"/>
        <v>0</v>
      </c>
      <c r="J50" s="376"/>
      <c r="K50" s="389" t="str">
        <f t="shared" si="0"/>
        <v>Marge bénéficiaire brute (pertes)</v>
      </c>
      <c r="L50" s="393"/>
      <c r="M50" s="394"/>
      <c r="N50" s="383"/>
      <c r="O50" s="389" t="str">
        <f t="shared" si="23"/>
        <v>Gross margin (loss)</v>
      </c>
      <c r="P50" s="389" t="str">
        <f t="shared" si="23"/>
        <v>Marge bénéficiaire brute (pertes)</v>
      </c>
      <c r="Q50" s="382">
        <f t="shared" si="24"/>
        <v>0</v>
      </c>
      <c r="R50" s="382">
        <f t="shared" si="24"/>
        <v>0</v>
      </c>
      <c r="S50" s="382">
        <f t="shared" si="24"/>
        <v>0</v>
      </c>
      <c r="T50" s="382">
        <f t="shared" si="24"/>
        <v>0</v>
      </c>
      <c r="U50" s="382">
        <f t="shared" si="24"/>
        <v>0</v>
      </c>
      <c r="V50" s="376"/>
      <c r="W50" s="389" t="str">
        <f t="shared" si="1"/>
        <v>Marge bénéficiaire brute (pertes)</v>
      </c>
      <c r="X50" s="393"/>
    </row>
    <row r="51" spans="2:24" ht="15" customHeight="1" x14ac:dyDescent="0.35">
      <c r="B51" s="365"/>
      <c r="C51" s="395" t="str">
        <f t="shared" si="21"/>
        <v>General, selling and administrative expenses</v>
      </c>
      <c r="D51" s="395" t="str">
        <f t="shared" si="21"/>
        <v>Frais généraux, de vente et d’administration</v>
      </c>
      <c r="E51" s="387">
        <f t="shared" si="22"/>
        <v>0</v>
      </c>
      <c r="F51" s="387">
        <f t="shared" si="22"/>
        <v>0</v>
      </c>
      <c r="G51" s="387">
        <f t="shared" si="22"/>
        <v>0</v>
      </c>
      <c r="H51" s="387">
        <f t="shared" si="22"/>
        <v>0</v>
      </c>
      <c r="I51" s="387">
        <f t="shared" si="22"/>
        <v>0</v>
      </c>
      <c r="J51" s="372"/>
      <c r="K51" s="395" t="str">
        <f t="shared" si="0"/>
        <v>Frais généraux, de vente et d’administration</v>
      </c>
      <c r="L51" s="362"/>
      <c r="M51" s="98"/>
      <c r="N51" s="365"/>
      <c r="O51" s="395" t="str">
        <f t="shared" si="23"/>
        <v>General, selling and administrative expenses</v>
      </c>
      <c r="P51" s="395" t="str">
        <f t="shared" si="23"/>
        <v>Frais généraux, de vente et d’administration</v>
      </c>
      <c r="Q51" s="387">
        <f t="shared" si="24"/>
        <v>0</v>
      </c>
      <c r="R51" s="387">
        <f t="shared" si="24"/>
        <v>0</v>
      </c>
      <c r="S51" s="387">
        <f t="shared" si="24"/>
        <v>0</v>
      </c>
      <c r="T51" s="387">
        <f t="shared" si="24"/>
        <v>0</v>
      </c>
      <c r="U51" s="387">
        <f t="shared" si="24"/>
        <v>0</v>
      </c>
      <c r="V51" s="372"/>
      <c r="W51" s="395" t="str">
        <f t="shared" si="1"/>
        <v>Frais généraux, de vente et d’administration</v>
      </c>
      <c r="X51" s="362"/>
    </row>
    <row r="52" spans="2:24" x14ac:dyDescent="0.35">
      <c r="B52" s="365"/>
      <c r="C52" s="392" t="str">
        <f t="shared" si="21"/>
        <v>Financial expenses</v>
      </c>
      <c r="D52" s="392" t="str">
        <f t="shared" si="21"/>
        <v>Charges financières</v>
      </c>
      <c r="E52" s="387">
        <f t="shared" si="22"/>
        <v>0</v>
      </c>
      <c r="F52" s="387">
        <f t="shared" si="22"/>
        <v>0</v>
      </c>
      <c r="G52" s="387">
        <f t="shared" si="22"/>
        <v>0</v>
      </c>
      <c r="H52" s="387">
        <f t="shared" si="22"/>
        <v>0</v>
      </c>
      <c r="I52" s="387">
        <f t="shared" si="22"/>
        <v>0</v>
      </c>
      <c r="J52" s="372"/>
      <c r="K52" s="392" t="str">
        <f t="shared" si="0"/>
        <v>Charges financières</v>
      </c>
      <c r="L52" s="362"/>
      <c r="M52" s="98"/>
      <c r="N52" s="365"/>
      <c r="O52" s="392" t="str">
        <f t="shared" si="23"/>
        <v>Financial expenses</v>
      </c>
      <c r="P52" s="392" t="str">
        <f t="shared" si="23"/>
        <v>Charges financières</v>
      </c>
      <c r="Q52" s="387">
        <f t="shared" si="24"/>
        <v>0</v>
      </c>
      <c r="R52" s="387">
        <f t="shared" si="24"/>
        <v>0</v>
      </c>
      <c r="S52" s="387">
        <f t="shared" si="24"/>
        <v>0</v>
      </c>
      <c r="T52" s="387">
        <f t="shared" si="24"/>
        <v>0</v>
      </c>
      <c r="U52" s="387">
        <f t="shared" si="24"/>
        <v>0</v>
      </c>
      <c r="V52" s="372"/>
      <c r="W52" s="392" t="str">
        <f t="shared" si="1"/>
        <v>Charges financières</v>
      </c>
      <c r="X52" s="362"/>
    </row>
    <row r="53" spans="2:24" x14ac:dyDescent="0.35">
      <c r="B53" s="365"/>
      <c r="C53" s="392" t="str">
        <f t="shared" si="21"/>
        <v>Other expenses</v>
      </c>
      <c r="D53" s="392" t="str">
        <f t="shared" si="21"/>
        <v>Autres dépenses</v>
      </c>
      <c r="E53" s="387">
        <f t="shared" si="22"/>
        <v>0</v>
      </c>
      <c r="F53" s="387">
        <f t="shared" si="22"/>
        <v>0</v>
      </c>
      <c r="G53" s="387">
        <f t="shared" si="22"/>
        <v>0</v>
      </c>
      <c r="H53" s="387">
        <f t="shared" si="22"/>
        <v>0</v>
      </c>
      <c r="I53" s="387">
        <f t="shared" si="22"/>
        <v>0</v>
      </c>
      <c r="J53" s="372"/>
      <c r="K53" s="392" t="str">
        <f t="shared" si="0"/>
        <v>Autres dépenses</v>
      </c>
      <c r="L53" s="362"/>
      <c r="M53" s="98"/>
      <c r="N53" s="365"/>
      <c r="O53" s="392" t="str">
        <f t="shared" si="23"/>
        <v>Other expenses</v>
      </c>
      <c r="P53" s="392" t="str">
        <f t="shared" si="23"/>
        <v>Autres dépenses</v>
      </c>
      <c r="Q53" s="387">
        <f t="shared" si="24"/>
        <v>0</v>
      </c>
      <c r="R53" s="387">
        <f t="shared" si="24"/>
        <v>0</v>
      </c>
      <c r="S53" s="387">
        <f t="shared" si="24"/>
        <v>0</v>
      </c>
      <c r="T53" s="387">
        <f t="shared" si="24"/>
        <v>0</v>
      </c>
      <c r="U53" s="387">
        <f t="shared" si="24"/>
        <v>0</v>
      </c>
      <c r="V53" s="372"/>
      <c r="W53" s="392" t="str">
        <f t="shared" si="1"/>
        <v>Autres dépenses</v>
      </c>
      <c r="X53" s="362"/>
    </row>
    <row r="54" spans="2:24" x14ac:dyDescent="0.35">
      <c r="B54" s="383"/>
      <c r="C54" s="389" t="str">
        <f t="shared" si="21"/>
        <v>Net income (loss) before taxes</v>
      </c>
      <c r="D54" s="389" t="str">
        <f t="shared" si="21"/>
        <v>Revenus nets (pertes) avant impôt</v>
      </c>
      <c r="E54" s="382">
        <f t="shared" si="22"/>
        <v>0</v>
      </c>
      <c r="F54" s="382">
        <f t="shared" si="22"/>
        <v>0</v>
      </c>
      <c r="G54" s="382">
        <f t="shared" si="22"/>
        <v>0</v>
      </c>
      <c r="H54" s="382">
        <f t="shared" si="22"/>
        <v>0</v>
      </c>
      <c r="I54" s="382">
        <f t="shared" si="22"/>
        <v>0</v>
      </c>
      <c r="J54" s="376"/>
      <c r="K54" s="389" t="str">
        <f t="shared" si="0"/>
        <v>Revenus nets (pertes) avant impôt</v>
      </c>
      <c r="L54" s="362"/>
      <c r="M54" s="98"/>
      <c r="N54" s="383"/>
      <c r="O54" s="389" t="str">
        <f t="shared" si="23"/>
        <v>Net income (loss) before taxes</v>
      </c>
      <c r="P54" s="389" t="str">
        <f t="shared" si="23"/>
        <v>Revenus nets (pertes) avant impôt</v>
      </c>
      <c r="Q54" s="382">
        <f t="shared" si="24"/>
        <v>0</v>
      </c>
      <c r="R54" s="382">
        <f t="shared" si="24"/>
        <v>0</v>
      </c>
      <c r="S54" s="382">
        <f t="shared" si="24"/>
        <v>0</v>
      </c>
      <c r="T54" s="382">
        <f t="shared" si="24"/>
        <v>0</v>
      </c>
      <c r="U54" s="382">
        <f t="shared" si="24"/>
        <v>0</v>
      </c>
      <c r="V54" s="376"/>
      <c r="W54" s="389" t="str">
        <f t="shared" si="1"/>
        <v>Revenus nets (pertes) avant impôt</v>
      </c>
      <c r="X54" s="362"/>
    </row>
    <row r="55" spans="2:24" x14ac:dyDescent="0.35">
      <c r="B55" s="383"/>
      <c r="C55" s="396"/>
      <c r="D55" s="360"/>
      <c r="E55" s="376"/>
      <c r="F55" s="376"/>
      <c r="G55" s="376"/>
      <c r="H55" s="376"/>
      <c r="I55" s="376"/>
      <c r="J55" s="376"/>
      <c r="K55" s="376"/>
      <c r="L55" s="362"/>
      <c r="M55" s="98"/>
      <c r="N55" s="383"/>
      <c r="O55" s="360"/>
      <c r="P55" s="360"/>
      <c r="Q55" s="376"/>
      <c r="R55" s="376"/>
      <c r="S55" s="376"/>
      <c r="T55" s="376"/>
      <c r="U55" s="376"/>
      <c r="V55" s="376"/>
      <c r="W55" s="376"/>
      <c r="X55" s="362"/>
    </row>
    <row r="56" spans="2:24" x14ac:dyDescent="0.35">
      <c r="B56" s="365"/>
      <c r="C56" s="397" t="s">
        <v>925</v>
      </c>
      <c r="D56" s="397"/>
      <c r="E56" s="361"/>
      <c r="F56" s="361"/>
      <c r="G56" s="361"/>
      <c r="H56" s="361"/>
      <c r="I56" s="361"/>
      <c r="J56" s="361"/>
      <c r="K56" s="361"/>
      <c r="L56" s="362"/>
      <c r="M56" s="98"/>
      <c r="N56" s="365"/>
      <c r="O56" s="398" t="str">
        <f>C56</f>
        <v>Note(s):</v>
      </c>
      <c r="P56" s="399"/>
      <c r="Q56" s="361"/>
      <c r="R56" s="361"/>
      <c r="S56" s="361"/>
      <c r="T56" s="361"/>
      <c r="U56" s="361"/>
      <c r="V56" s="361"/>
      <c r="W56" s="361"/>
      <c r="X56" s="362"/>
    </row>
    <row r="57" spans="2:24" x14ac:dyDescent="0.35">
      <c r="B57" s="365"/>
      <c r="C57" s="995" t="s">
        <v>926</v>
      </c>
      <c r="D57" s="995"/>
      <c r="E57" s="995"/>
      <c r="F57" s="995"/>
      <c r="G57" s="995"/>
      <c r="H57" s="995"/>
      <c r="I57" s="995"/>
      <c r="J57" s="995"/>
      <c r="K57" s="995"/>
      <c r="L57" s="362"/>
      <c r="M57" s="98"/>
      <c r="N57" s="365"/>
      <c r="O57" s="995" t="str">
        <f>C57</f>
        <v>1. The data may not balance, as the beginning and ending inventories of goods in process are not shown.  |  
Les données pourraient ne pas s'équilibrer puisque les stocks d'ouverture et de clôture des marchandises en cours de fabrication ne figurent pas dans le tableau.</v>
      </c>
      <c r="P57" s="995"/>
      <c r="Q57" s="995"/>
      <c r="R57" s="995"/>
      <c r="S57" s="995"/>
      <c r="T57" s="995"/>
      <c r="U57" s="995"/>
      <c r="V57" s="995"/>
      <c r="W57" s="995"/>
      <c r="X57" s="362"/>
    </row>
    <row r="58" spans="2:24" x14ac:dyDescent="0.35">
      <c r="B58" s="365"/>
      <c r="C58" s="991" t="s">
        <v>927</v>
      </c>
      <c r="D58" s="991"/>
      <c r="E58" s="991"/>
      <c r="F58" s="991"/>
      <c r="G58" s="991"/>
      <c r="H58" s="991"/>
      <c r="I58" s="991"/>
      <c r="J58" s="991"/>
      <c r="K58" s="991"/>
      <c r="L58" s="362"/>
      <c r="M58" s="98"/>
      <c r="N58" s="365"/>
      <c r="O58" s="991" t="str">
        <f>C58</f>
        <v>Source: Reply to CITT questionnaire.  |  Réponse au questionnaire du TCCE.</v>
      </c>
      <c r="P58" s="991"/>
      <c r="Q58" s="991"/>
      <c r="R58" s="991"/>
      <c r="S58" s="991"/>
      <c r="T58" s="991"/>
      <c r="U58" s="991"/>
      <c r="V58" s="991"/>
      <c r="W58" s="991"/>
      <c r="X58" s="362"/>
    </row>
    <row r="59" spans="2:24" x14ac:dyDescent="0.35">
      <c r="B59" s="365"/>
      <c r="C59" s="400"/>
      <c r="D59" s="400"/>
      <c r="E59" s="361"/>
      <c r="F59" s="361"/>
      <c r="G59" s="361"/>
      <c r="H59" s="361"/>
      <c r="I59" s="361"/>
      <c r="J59" s="361"/>
      <c r="K59" s="361"/>
      <c r="L59" s="362"/>
      <c r="M59" s="98"/>
      <c r="N59" s="365"/>
      <c r="O59" s="400"/>
      <c r="P59" s="400"/>
      <c r="Q59" s="361"/>
      <c r="R59" s="361"/>
      <c r="S59" s="361"/>
      <c r="T59" s="361"/>
      <c r="U59" s="361"/>
      <c r="V59" s="361"/>
      <c r="W59" s="361"/>
      <c r="X59" s="362"/>
    </row>
    <row r="60" spans="2:24" ht="15" thickBot="1" x14ac:dyDescent="0.4">
      <c r="B60" s="401"/>
      <c r="C60" s="402"/>
      <c r="D60" s="402"/>
      <c r="E60" s="402"/>
      <c r="F60" s="402"/>
      <c r="G60" s="402"/>
      <c r="H60" s="402"/>
      <c r="I60" s="402"/>
      <c r="J60" s="402"/>
      <c r="K60" s="402"/>
      <c r="L60" s="403"/>
      <c r="M60" s="98"/>
      <c r="N60" s="401"/>
      <c r="O60" s="402"/>
      <c r="P60" s="402"/>
      <c r="Q60" s="402"/>
      <c r="R60" s="402"/>
      <c r="S60" s="402"/>
      <c r="T60" s="402"/>
      <c r="U60" s="402"/>
      <c r="V60" s="402"/>
      <c r="W60" s="402"/>
      <c r="X60" s="403"/>
    </row>
    <row r="62" spans="2:24" ht="15" thickBot="1" x14ac:dyDescent="0.4">
      <c r="C62" s="366" t="s">
        <v>928</v>
      </c>
    </row>
    <row r="63" spans="2:24" x14ac:dyDescent="0.35">
      <c r="B63" s="354"/>
      <c r="C63" s="355"/>
      <c r="D63" s="355"/>
      <c r="E63" s="356"/>
      <c r="F63" s="356"/>
      <c r="G63" s="356"/>
      <c r="H63" s="356"/>
      <c r="I63" s="356"/>
      <c r="J63" s="356"/>
      <c r="K63" s="356"/>
      <c r="L63" s="357"/>
    </row>
    <row r="64" spans="2:24" x14ac:dyDescent="0.35">
      <c r="B64" s="359"/>
      <c r="C64" s="360"/>
      <c r="D64" s="360"/>
      <c r="E64" s="361"/>
      <c r="F64" s="361"/>
      <c r="G64" s="361"/>
      <c r="H64" s="361"/>
      <c r="I64" s="361"/>
      <c r="J64" s="361"/>
      <c r="K64" s="361"/>
      <c r="L64" s="362"/>
    </row>
    <row r="65" spans="2:12" x14ac:dyDescent="0.35">
      <c r="B65" s="359"/>
      <c r="C65" s="366"/>
      <c r="D65" s="366"/>
      <c r="E65" s="361"/>
      <c r="F65" s="361"/>
      <c r="G65" s="361"/>
      <c r="H65" s="992" t="s">
        <v>977</v>
      </c>
      <c r="I65" s="992"/>
      <c r="J65" s="364"/>
      <c r="K65" s="364"/>
      <c r="L65" s="362"/>
    </row>
    <row r="66" spans="2:12" x14ac:dyDescent="0.35">
      <c r="B66" s="365"/>
      <c r="C66" s="418">
        <f>C6</f>
        <v>0</v>
      </c>
      <c r="D66" s="366"/>
      <c r="E66" s="366">
        <v>2023</v>
      </c>
      <c r="F66" s="366">
        <v>2024</v>
      </c>
      <c r="G66" s="366">
        <v>2025</v>
      </c>
      <c r="H66" s="366">
        <v>2025</v>
      </c>
      <c r="I66" s="366">
        <v>2026</v>
      </c>
      <c r="J66" s="360"/>
      <c r="K66" s="360"/>
      <c r="L66" s="362"/>
    </row>
    <row r="67" spans="2:12" x14ac:dyDescent="0.35">
      <c r="B67" s="365"/>
      <c r="C67" s="404" t="s">
        <v>436</v>
      </c>
      <c r="D67" s="404" t="s">
        <v>916</v>
      </c>
      <c r="E67" s="372"/>
      <c r="F67" s="372"/>
      <c r="G67" s="372"/>
      <c r="H67" s="372"/>
      <c r="I67" s="372"/>
      <c r="J67" s="372"/>
      <c r="K67" s="404" t="s">
        <v>916</v>
      </c>
      <c r="L67" s="362"/>
    </row>
    <row r="68" spans="2:12" x14ac:dyDescent="0.35">
      <c r="B68" s="365"/>
      <c r="C68" s="405" t="s">
        <v>371</v>
      </c>
      <c r="D68" s="405" t="s">
        <v>921</v>
      </c>
      <c r="E68" s="371">
        <f>'Pro 3'!G372/1000</f>
        <v>0</v>
      </c>
      <c r="F68" s="371">
        <f>'Pro 3'!H372/1000</f>
        <v>0</v>
      </c>
      <c r="G68" s="371">
        <f>'Pro 3'!I372/1000</f>
        <v>0</v>
      </c>
      <c r="H68" s="371">
        <f>'Pro 3'!J372/1000</f>
        <v>0</v>
      </c>
      <c r="I68" s="371">
        <f>'Pro 3'!K372/1000</f>
        <v>0</v>
      </c>
      <c r="J68" s="372"/>
      <c r="K68" s="405" t="s">
        <v>921</v>
      </c>
      <c r="L68" s="362"/>
    </row>
    <row r="69" spans="2:12" x14ac:dyDescent="0.35">
      <c r="B69" s="365"/>
      <c r="C69" s="406" t="s">
        <v>365</v>
      </c>
      <c r="D69" s="406" t="s">
        <v>48</v>
      </c>
      <c r="E69" s="371">
        <f>'Pro 3'!G373/1000</f>
        <v>0</v>
      </c>
      <c r="F69" s="371">
        <f>'Pro 3'!H373/1000</f>
        <v>0</v>
      </c>
      <c r="G69" s="371">
        <f>'Pro 3'!I373/1000</f>
        <v>0</v>
      </c>
      <c r="H69" s="371">
        <f>'Pro 3'!J373/1000</f>
        <v>0</v>
      </c>
      <c r="I69" s="371">
        <f>'Pro 3'!K373/1000</f>
        <v>0</v>
      </c>
      <c r="J69" s="372"/>
      <c r="K69" s="406" t="s">
        <v>48</v>
      </c>
      <c r="L69" s="362"/>
    </row>
    <row r="70" spans="2:12" x14ac:dyDescent="0.35">
      <c r="B70" s="365"/>
      <c r="C70" s="405" t="s">
        <v>439</v>
      </c>
      <c r="D70" s="405" t="s">
        <v>922</v>
      </c>
      <c r="E70" s="382">
        <f>E68-E69</f>
        <v>0</v>
      </c>
      <c r="F70" s="382">
        <f t="shared" ref="F70:I70" si="25">F68-F69</f>
        <v>0</v>
      </c>
      <c r="G70" s="382">
        <f t="shared" si="25"/>
        <v>0</v>
      </c>
      <c r="H70" s="382">
        <f t="shared" si="25"/>
        <v>0</v>
      </c>
      <c r="I70" s="382">
        <f t="shared" si="25"/>
        <v>0</v>
      </c>
      <c r="J70" s="376"/>
      <c r="K70" s="405" t="s">
        <v>922</v>
      </c>
      <c r="L70" s="362"/>
    </row>
    <row r="71" spans="2:12" x14ac:dyDescent="0.35">
      <c r="B71" s="365"/>
      <c r="C71" s="406" t="s">
        <v>368</v>
      </c>
      <c r="D71" s="406" t="s">
        <v>923</v>
      </c>
      <c r="E71" s="371">
        <f>'Pro 3'!G375/1000</f>
        <v>0</v>
      </c>
      <c r="F71" s="371">
        <f>'Pro 3'!H375/1000</f>
        <v>0</v>
      </c>
      <c r="G71" s="371">
        <f>'Pro 3'!I375/1000</f>
        <v>0</v>
      </c>
      <c r="H71" s="371">
        <f>'Pro 3'!J375/1000</f>
        <v>0</v>
      </c>
      <c r="I71" s="371">
        <f>'Pro 3'!K375/1000</f>
        <v>0</v>
      </c>
      <c r="J71" s="372"/>
      <c r="K71" s="406" t="s">
        <v>923</v>
      </c>
      <c r="L71" s="362"/>
    </row>
    <row r="72" spans="2:12" x14ac:dyDescent="0.35">
      <c r="B72" s="365"/>
      <c r="C72" s="406" t="s">
        <v>367</v>
      </c>
      <c r="D72" s="406" t="s">
        <v>54</v>
      </c>
      <c r="E72" s="371">
        <f>'Pro 3'!G376/1000</f>
        <v>0</v>
      </c>
      <c r="F72" s="371">
        <f>'Pro 3'!H376/1000</f>
        <v>0</v>
      </c>
      <c r="G72" s="371">
        <f>'Pro 3'!I376/1000</f>
        <v>0</v>
      </c>
      <c r="H72" s="371">
        <f>'Pro 3'!J376/1000</f>
        <v>0</v>
      </c>
      <c r="I72" s="371">
        <f>'Pro 3'!K376/1000</f>
        <v>0</v>
      </c>
      <c r="J72" s="372"/>
      <c r="K72" s="406" t="s">
        <v>54</v>
      </c>
      <c r="L72" s="362"/>
    </row>
    <row r="73" spans="2:12" x14ac:dyDescent="0.35">
      <c r="B73" s="365"/>
      <c r="C73" s="406" t="s">
        <v>442</v>
      </c>
      <c r="D73" s="406" t="s">
        <v>115</v>
      </c>
      <c r="E73" s="371">
        <f>'Pro 3'!G377/1000</f>
        <v>0</v>
      </c>
      <c r="F73" s="371">
        <f>'Pro 3'!H377/1000</f>
        <v>0</v>
      </c>
      <c r="G73" s="371">
        <f>'Pro 3'!I377/1000</f>
        <v>0</v>
      </c>
      <c r="H73" s="371">
        <f>'Pro 3'!J377/1000</f>
        <v>0</v>
      </c>
      <c r="I73" s="371">
        <f>'Pro 3'!K377/1000</f>
        <v>0</v>
      </c>
      <c r="J73" s="372"/>
      <c r="K73" s="406" t="s">
        <v>115</v>
      </c>
      <c r="L73" s="362"/>
    </row>
    <row r="74" spans="2:12" x14ac:dyDescent="0.35">
      <c r="B74" s="365"/>
      <c r="C74" s="405" t="s">
        <v>444</v>
      </c>
      <c r="D74" s="405" t="s">
        <v>924</v>
      </c>
      <c r="E74" s="382">
        <f>E70-E71-E72-E73</f>
        <v>0</v>
      </c>
      <c r="F74" s="382">
        <f t="shared" ref="F74:I74" si="26">F70-F71-F72-F73</f>
        <v>0</v>
      </c>
      <c r="G74" s="382">
        <f t="shared" si="26"/>
        <v>0</v>
      </c>
      <c r="H74" s="382">
        <f t="shared" si="26"/>
        <v>0</v>
      </c>
      <c r="I74" s="382">
        <f t="shared" si="26"/>
        <v>0</v>
      </c>
      <c r="J74" s="376"/>
      <c r="K74" s="405" t="s">
        <v>924</v>
      </c>
      <c r="L74" s="362"/>
    </row>
    <row r="75" spans="2:12" ht="15" thickBot="1" x14ac:dyDescent="0.4">
      <c r="B75" s="401"/>
      <c r="C75" s="407"/>
      <c r="D75" s="407"/>
      <c r="E75" s="408"/>
      <c r="F75" s="408"/>
      <c r="G75" s="408"/>
      <c r="H75" s="408"/>
      <c r="I75" s="408"/>
      <c r="J75" s="409"/>
      <c r="K75" s="407"/>
      <c r="L75" s="403"/>
    </row>
  </sheetData>
  <sheetProtection algorithmName="SHA-512" hashValue="N5nkansokWZVOGy1ZpykSbsrNaL7JhZqNRzfsRvD0YPa7vw++n0e/teoeyEJ0nkxzA7O4Q4YH5Kgwm4GD2JqOg==" saltValue="fOwYOHC/78vB/H1mtMI+Jw==" spinCount="100000" sheet="1" objects="1" scenarios="1" selectLockedCells="1"/>
  <mergeCells count="9">
    <mergeCell ref="C58:K58"/>
    <mergeCell ref="O58:W58"/>
    <mergeCell ref="H65:I65"/>
    <mergeCell ref="C2:K2"/>
    <mergeCell ref="O2:W2"/>
    <mergeCell ref="H5:I5"/>
    <mergeCell ref="T5:U5"/>
    <mergeCell ref="C57:K57"/>
    <mergeCell ref="O57:W57"/>
  </mergeCells>
  <dataValidations disablePrompts="1" count="3">
    <dataValidation type="list" allowBlank="1" showInputMessage="1" showErrorMessage="1" sqref="C5" xr:uid="{8FBA6C09-42EF-4256-B479-34F897F24B7B}">
      <formula1>$C$1:$C$6</formula1>
    </dataValidation>
    <dataValidation type="list" allowBlank="1" showInputMessage="1" showErrorMessage="1" sqref="B5" xr:uid="{ACC501EA-9783-43A8-87E3-9E99B2FCDE1C}">
      <formula1>$B$1:$B$3</formula1>
    </dataValidation>
    <dataValidation type="list" allowBlank="1" showInputMessage="1" showErrorMessage="1" sqref="D5:D6" xr:uid="{598A0832-1F9F-46CA-AAFA-371F695FF128}">
      <formula1>$D$1:$D$8</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9F4C4-E0FC-4A38-B4DD-9C2C9EAC6D41}">
  <sheetPr>
    <tabColor rgb="FFFF0000"/>
  </sheetPr>
  <dimension ref="A3:M67"/>
  <sheetViews>
    <sheetView workbookViewId="0"/>
  </sheetViews>
  <sheetFormatPr defaultRowHeight="14.5" x14ac:dyDescent="0.35"/>
  <cols>
    <col min="1" max="1" width="8.453125" customWidth="1"/>
    <col min="2" max="2" width="2.6328125" customWidth="1"/>
    <col min="3" max="3" width="35.6328125" customWidth="1"/>
    <col min="4" max="4" width="9.08984375" hidden="1" customWidth="1"/>
    <col min="5" max="10" width="11.36328125" customWidth="1"/>
    <col min="11" max="11" width="5" customWidth="1"/>
    <col min="12" max="12" width="38.6328125" customWidth="1"/>
    <col min="13" max="13" width="2.90625" customWidth="1"/>
  </cols>
  <sheetData>
    <row r="3" spans="1:13" ht="15" thickBot="1" x14ac:dyDescent="0.4"/>
    <row r="4" spans="1:13" x14ac:dyDescent="0.35">
      <c r="A4" s="358"/>
      <c r="B4" s="410"/>
      <c r="C4" s="411"/>
      <c r="D4" s="411"/>
      <c r="E4" s="411"/>
      <c r="F4" s="411"/>
      <c r="G4" s="411"/>
      <c r="H4" s="411"/>
      <c r="I4" s="411"/>
      <c r="J4" s="411"/>
      <c r="K4" s="411"/>
      <c r="L4" s="411"/>
      <c r="M4" s="412"/>
    </row>
    <row r="5" spans="1:13" x14ac:dyDescent="0.35">
      <c r="A5" s="363"/>
      <c r="B5" s="413"/>
      <c r="C5" s="414"/>
      <c r="D5" s="414"/>
      <c r="E5" s="414"/>
      <c r="F5" s="414"/>
      <c r="G5" s="414"/>
      <c r="H5" s="992" t="s">
        <v>977</v>
      </c>
      <c r="I5" s="992"/>
      <c r="J5" s="364"/>
      <c r="K5" s="364"/>
      <c r="L5" s="415"/>
      <c r="M5" s="416"/>
    </row>
    <row r="6" spans="1:13" x14ac:dyDescent="0.35">
      <c r="A6" s="42"/>
      <c r="B6" s="417"/>
      <c r="C6" s="418">
        <f>Intro!E98</f>
        <v>0</v>
      </c>
      <c r="D6" s="419"/>
      <c r="E6" s="366">
        <v>2023</v>
      </c>
      <c r="F6" s="366">
        <v>2024</v>
      </c>
      <c r="G6" s="366">
        <v>2025</v>
      </c>
      <c r="H6" s="366">
        <v>2025</v>
      </c>
      <c r="I6" s="366">
        <v>2026</v>
      </c>
      <c r="J6" s="366"/>
      <c r="K6" s="366"/>
      <c r="L6" s="366"/>
      <c r="M6" s="416"/>
    </row>
    <row r="7" spans="1:13" x14ac:dyDescent="0.35">
      <c r="A7" s="42"/>
      <c r="B7" s="417"/>
      <c r="C7" s="419"/>
      <c r="D7" s="419"/>
      <c r="E7" s="366"/>
      <c r="F7" s="366"/>
      <c r="G7" s="366"/>
      <c r="H7" s="366"/>
      <c r="I7" s="366"/>
      <c r="J7" s="366"/>
      <c r="K7" s="366"/>
      <c r="L7" s="366"/>
      <c r="M7" s="416"/>
    </row>
    <row r="8" spans="1:13" x14ac:dyDescent="0.35">
      <c r="A8" s="42"/>
      <c r="B8" s="417"/>
      <c r="C8" s="420" t="s">
        <v>978</v>
      </c>
      <c r="D8" s="420" t="s">
        <v>981</v>
      </c>
      <c r="E8" s="421">
        <f>'Pro 1'!G28</f>
        <v>0</v>
      </c>
      <c r="F8" s="421">
        <f>'Pro 1'!H28</f>
        <v>0</v>
      </c>
      <c r="G8" s="421">
        <f>'Pro 1'!I28</f>
        <v>0</v>
      </c>
      <c r="H8" s="421">
        <f>'Pro 1'!J28</f>
        <v>0</v>
      </c>
      <c r="I8" s="421">
        <f>'Pro 1'!K28</f>
        <v>0</v>
      </c>
      <c r="J8" s="422"/>
      <c r="K8" s="422"/>
      <c r="L8" s="420" t="str">
        <f>D8</f>
        <v>Capacité pratique des usines (mètres)</v>
      </c>
      <c r="M8" s="416"/>
    </row>
    <row r="9" spans="1:13" x14ac:dyDescent="0.35">
      <c r="B9" s="417"/>
      <c r="C9" s="419"/>
      <c r="D9" s="419"/>
      <c r="E9" s="423"/>
      <c r="F9" s="423"/>
      <c r="G9" s="423"/>
      <c r="H9" s="423"/>
      <c r="I9" s="423"/>
      <c r="J9" s="423"/>
      <c r="K9" s="423"/>
      <c r="L9" s="419"/>
      <c r="M9" s="416"/>
    </row>
    <row r="10" spans="1:13" x14ac:dyDescent="0.35">
      <c r="B10" s="417"/>
      <c r="C10" s="420" t="s">
        <v>979</v>
      </c>
      <c r="D10" s="420" t="s">
        <v>982</v>
      </c>
      <c r="E10" s="423"/>
      <c r="F10" s="423"/>
      <c r="G10" s="423"/>
      <c r="H10" s="423"/>
      <c r="I10" s="423"/>
      <c r="J10" s="423"/>
      <c r="K10" s="423"/>
      <c r="L10" s="420" t="str">
        <f t="shared" ref="L10:L16" si="0">D10</f>
        <v>Production (mètres)</v>
      </c>
      <c r="M10" s="416"/>
    </row>
    <row r="11" spans="1:13" x14ac:dyDescent="0.35">
      <c r="B11" s="413"/>
      <c r="C11" s="424" t="s">
        <v>929</v>
      </c>
      <c r="D11" s="424" t="s">
        <v>930</v>
      </c>
      <c r="E11" s="425">
        <f>'Pro 1'!G21</f>
        <v>0</v>
      </c>
      <c r="F11" s="425">
        <f>'Pro 1'!H21</f>
        <v>0</v>
      </c>
      <c r="G11" s="425">
        <f>'Pro 1'!I21</f>
        <v>0</v>
      </c>
      <c r="H11" s="425">
        <f>'Pro 1'!J21</f>
        <v>0</v>
      </c>
      <c r="I11" s="425">
        <f>'Pro 1'!K21</f>
        <v>0</v>
      </c>
      <c r="J11" s="422"/>
      <c r="K11" s="426"/>
      <c r="L11" s="424" t="str">
        <f t="shared" si="0"/>
        <v>Pour les ventes nationales</v>
      </c>
      <c r="M11" s="416"/>
    </row>
    <row r="12" spans="1:13" x14ac:dyDescent="0.35">
      <c r="B12" s="413"/>
      <c r="C12" s="424" t="s">
        <v>931</v>
      </c>
      <c r="D12" s="424" t="s">
        <v>932</v>
      </c>
      <c r="E12" s="56">
        <f>'Pro 1'!G22</f>
        <v>0</v>
      </c>
      <c r="F12" s="56">
        <f>'Pro 1'!H22</f>
        <v>0</v>
      </c>
      <c r="G12" s="56">
        <f>'Pro 1'!I22</f>
        <v>0</v>
      </c>
      <c r="H12" s="56">
        <f>'Pro 1'!J22</f>
        <v>0</v>
      </c>
      <c r="I12" s="56">
        <f>'Pro 1'!K22</f>
        <v>0</v>
      </c>
      <c r="J12" s="426"/>
      <c r="K12" s="426"/>
      <c r="L12" s="424" t="str">
        <f t="shared" si="0"/>
        <v xml:space="preserve">Pour les ventes à l'exportation </v>
      </c>
      <c r="M12" s="416"/>
    </row>
    <row r="13" spans="1:13" x14ac:dyDescent="0.35">
      <c r="B13" s="413"/>
      <c r="C13" s="424" t="s">
        <v>933</v>
      </c>
      <c r="D13" s="424" t="s">
        <v>934</v>
      </c>
      <c r="E13" s="427">
        <f>'Pro 1'!G23</f>
        <v>0</v>
      </c>
      <c r="F13" s="427">
        <f>'Pro 1'!H23</f>
        <v>0</v>
      </c>
      <c r="G13" s="427">
        <f>'Pro 1'!I23</f>
        <v>0</v>
      </c>
      <c r="H13" s="427">
        <f>'Pro 1'!J23</f>
        <v>0</v>
      </c>
      <c r="I13" s="427">
        <f>'Pro 1'!K23</f>
        <v>0</v>
      </c>
      <c r="J13" s="426"/>
      <c r="K13" s="426"/>
      <c r="L13" s="424" t="str">
        <f t="shared" si="0"/>
        <v xml:space="preserve">Pour la transformation ultérieure
</v>
      </c>
      <c r="M13" s="416"/>
    </row>
    <row r="14" spans="1:13" x14ac:dyDescent="0.35">
      <c r="B14" s="413"/>
      <c r="C14" s="428" t="s">
        <v>459</v>
      </c>
      <c r="D14" s="428" t="s">
        <v>459</v>
      </c>
      <c r="E14" s="429">
        <f>SUM(E11:E13)</f>
        <v>0</v>
      </c>
      <c r="F14" s="429">
        <f t="shared" ref="F14:I14" si="1">SUM(F11:F13)</f>
        <v>0</v>
      </c>
      <c r="G14" s="429">
        <f t="shared" si="1"/>
        <v>0</v>
      </c>
      <c r="H14" s="429">
        <f t="shared" si="1"/>
        <v>0</v>
      </c>
      <c r="I14" s="429">
        <f t="shared" si="1"/>
        <v>0</v>
      </c>
      <c r="J14" s="430"/>
      <c r="K14" s="430"/>
      <c r="L14" s="428" t="str">
        <f t="shared" si="0"/>
        <v>Total - Production</v>
      </c>
      <c r="M14" s="416"/>
    </row>
    <row r="15" spans="1:13" x14ac:dyDescent="0.35">
      <c r="B15" s="413"/>
      <c r="C15" s="997" t="s">
        <v>460</v>
      </c>
      <c r="D15" s="997" t="s">
        <v>935</v>
      </c>
      <c r="E15" s="427">
        <f>'Pro 1'!G26</f>
        <v>0</v>
      </c>
      <c r="F15" s="427">
        <f>'Pro 1'!H26</f>
        <v>0</v>
      </c>
      <c r="G15" s="427">
        <f>'Pro 1'!I26</f>
        <v>0</v>
      </c>
      <c r="H15" s="427">
        <f>'Pro 1'!J26</f>
        <v>0</v>
      </c>
      <c r="I15" s="427">
        <f>'Pro 1'!K26</f>
        <v>0</v>
      </c>
      <c r="J15" s="426"/>
      <c r="K15" s="426"/>
      <c r="L15" s="997" t="str">
        <f t="shared" si="0"/>
        <v>Autres marchandises produites sur le même équipement</v>
      </c>
      <c r="M15" s="416"/>
    </row>
    <row r="16" spans="1:13" x14ac:dyDescent="0.35">
      <c r="B16" s="413"/>
      <c r="C16" s="997"/>
      <c r="D16" s="997"/>
      <c r="E16" s="426"/>
      <c r="F16" s="426"/>
      <c r="G16" s="426"/>
      <c r="H16" s="426"/>
      <c r="I16" s="426"/>
      <c r="J16" s="426"/>
      <c r="K16" s="426"/>
      <c r="L16" s="997">
        <f t="shared" si="0"/>
        <v>0</v>
      </c>
      <c r="M16" s="416"/>
    </row>
    <row r="17" spans="2:13" x14ac:dyDescent="0.35">
      <c r="B17" s="413"/>
      <c r="C17" s="414"/>
      <c r="D17" s="414"/>
      <c r="E17" s="431"/>
      <c r="F17" s="431"/>
      <c r="G17" s="431"/>
      <c r="H17" s="431"/>
      <c r="I17" s="431"/>
      <c r="J17" s="431"/>
      <c r="K17" s="432"/>
      <c r="L17" s="414"/>
      <c r="M17" s="416"/>
    </row>
    <row r="18" spans="2:13" x14ac:dyDescent="0.35">
      <c r="B18" s="417"/>
      <c r="C18" s="420" t="s">
        <v>936</v>
      </c>
      <c r="D18" s="420" t="s">
        <v>937</v>
      </c>
      <c r="E18" s="423"/>
      <c r="F18" s="423"/>
      <c r="G18" s="423"/>
      <c r="H18" s="423"/>
      <c r="I18" s="423"/>
      <c r="J18" s="423"/>
      <c r="K18" s="423"/>
      <c r="L18" s="420" t="str">
        <f t="shared" ref="L18:L24" si="2">D18</f>
        <v>Taux d'utilisation de la capacité (%)</v>
      </c>
      <c r="M18" s="416"/>
    </row>
    <row r="19" spans="2:13" x14ac:dyDescent="0.35">
      <c r="B19" s="413"/>
      <c r="C19" s="424" t="str">
        <f t="shared" ref="C19:D23" si="3">C11</f>
        <v>For domestic sales</v>
      </c>
      <c r="D19" s="424" t="str">
        <f t="shared" si="3"/>
        <v>Pour les ventes nationales</v>
      </c>
      <c r="E19" s="56">
        <f>IF(E$8=0,0,E11/E$8)*100</f>
        <v>0</v>
      </c>
      <c r="F19" s="56">
        <f t="shared" ref="F19:I23" si="4">IF(F$8=0,0,F11/F$8)*100</f>
        <v>0</v>
      </c>
      <c r="G19" s="56">
        <f t="shared" si="4"/>
        <v>0</v>
      </c>
      <c r="H19" s="56">
        <f t="shared" si="4"/>
        <v>0</v>
      </c>
      <c r="I19" s="56">
        <f t="shared" si="4"/>
        <v>0</v>
      </c>
      <c r="J19" s="426"/>
      <c r="K19" s="426"/>
      <c r="L19" s="424" t="str">
        <f t="shared" si="2"/>
        <v>Pour les ventes nationales</v>
      </c>
      <c r="M19" s="416"/>
    </row>
    <row r="20" spans="2:13" x14ac:dyDescent="0.35">
      <c r="B20" s="413"/>
      <c r="C20" s="424" t="str">
        <f t="shared" si="3"/>
        <v>For export sales</v>
      </c>
      <c r="D20" s="424" t="str">
        <f t="shared" si="3"/>
        <v xml:space="preserve">Pour les ventes à l'exportation </v>
      </c>
      <c r="E20" s="56">
        <f>IF(E$8=0,0,E12/E$8)*100</f>
        <v>0</v>
      </c>
      <c r="F20" s="56">
        <f t="shared" si="4"/>
        <v>0</v>
      </c>
      <c r="G20" s="56">
        <f t="shared" si="4"/>
        <v>0</v>
      </c>
      <c r="H20" s="56">
        <f t="shared" si="4"/>
        <v>0</v>
      </c>
      <c r="I20" s="56">
        <f t="shared" si="4"/>
        <v>0</v>
      </c>
      <c r="J20" s="426"/>
      <c r="K20" s="426"/>
      <c r="L20" s="424" t="str">
        <f t="shared" si="2"/>
        <v xml:space="preserve">Pour les ventes à l'exportation </v>
      </c>
      <c r="M20" s="416"/>
    </row>
    <row r="21" spans="2:13" x14ac:dyDescent="0.35">
      <c r="B21" s="413"/>
      <c r="C21" s="424" t="str">
        <f t="shared" si="3"/>
        <v>For further internal processing</v>
      </c>
      <c r="D21" s="424" t="str">
        <f t="shared" si="3"/>
        <v xml:space="preserve">Pour la transformation ultérieure
</v>
      </c>
      <c r="E21" s="56">
        <f>IF(E$8=0,0,E13/E$8)*100</f>
        <v>0</v>
      </c>
      <c r="F21" s="56">
        <f t="shared" si="4"/>
        <v>0</v>
      </c>
      <c r="G21" s="56">
        <f t="shared" si="4"/>
        <v>0</v>
      </c>
      <c r="H21" s="56">
        <f t="shared" si="4"/>
        <v>0</v>
      </c>
      <c r="I21" s="56">
        <f t="shared" si="4"/>
        <v>0</v>
      </c>
      <c r="J21" s="426"/>
      <c r="K21" s="426"/>
      <c r="L21" s="424" t="str">
        <f t="shared" si="2"/>
        <v xml:space="preserve">Pour la transformation ultérieure
</v>
      </c>
      <c r="M21" s="416"/>
    </row>
    <row r="22" spans="2:13" x14ac:dyDescent="0.35">
      <c r="B22" s="433"/>
      <c r="C22" s="428" t="str">
        <f t="shared" si="3"/>
        <v>Total - Production</v>
      </c>
      <c r="D22" s="428" t="str">
        <f t="shared" si="3"/>
        <v>Total - Production</v>
      </c>
      <c r="E22" s="429">
        <f>IF(E$8=0,0,E14/E$8)*100</f>
        <v>0</v>
      </c>
      <c r="F22" s="429">
        <f t="shared" si="4"/>
        <v>0</v>
      </c>
      <c r="G22" s="429">
        <f t="shared" si="4"/>
        <v>0</v>
      </c>
      <c r="H22" s="429">
        <f t="shared" si="4"/>
        <v>0</v>
      </c>
      <c r="I22" s="429">
        <f t="shared" si="4"/>
        <v>0</v>
      </c>
      <c r="J22" s="430"/>
      <c r="K22" s="430"/>
      <c r="L22" s="428" t="str">
        <f t="shared" si="2"/>
        <v>Total - Production</v>
      </c>
      <c r="M22" s="434"/>
    </row>
    <row r="23" spans="2:13" x14ac:dyDescent="0.35">
      <c r="B23" s="413"/>
      <c r="C23" s="997" t="str">
        <f t="shared" si="3"/>
        <v>Other goods produced on the same equipment</v>
      </c>
      <c r="D23" s="997" t="str">
        <f t="shared" si="3"/>
        <v>Autres marchandises produites sur le même équipement</v>
      </c>
      <c r="E23" s="56">
        <f>IF(E$8=0,0,E15/E$8)*100</f>
        <v>0</v>
      </c>
      <c r="F23" s="56">
        <f t="shared" si="4"/>
        <v>0</v>
      </c>
      <c r="G23" s="56">
        <f t="shared" si="4"/>
        <v>0</v>
      </c>
      <c r="H23" s="56">
        <f t="shared" si="4"/>
        <v>0</v>
      </c>
      <c r="I23" s="56">
        <f t="shared" si="4"/>
        <v>0</v>
      </c>
      <c r="J23" s="426"/>
      <c r="K23" s="426"/>
      <c r="L23" s="997" t="str">
        <f t="shared" si="2"/>
        <v>Autres marchandises produites sur le même équipement</v>
      </c>
      <c r="M23" s="416"/>
    </row>
    <row r="24" spans="2:13" x14ac:dyDescent="0.35">
      <c r="B24" s="413"/>
      <c r="C24" s="997"/>
      <c r="D24" s="997"/>
      <c r="E24" s="435"/>
      <c r="F24" s="435"/>
      <c r="G24" s="435"/>
      <c r="H24" s="435"/>
      <c r="I24" s="435"/>
      <c r="J24" s="435"/>
      <c r="K24" s="435"/>
      <c r="L24" s="997">
        <f t="shared" si="2"/>
        <v>0</v>
      </c>
      <c r="M24" s="416"/>
    </row>
    <row r="25" spans="2:13" x14ac:dyDescent="0.35">
      <c r="B25" s="413"/>
      <c r="C25" s="424"/>
      <c r="D25" s="424"/>
      <c r="E25" s="431"/>
      <c r="F25" s="431"/>
      <c r="G25" s="431"/>
      <c r="H25" s="431"/>
      <c r="I25" s="431"/>
      <c r="J25" s="431"/>
      <c r="K25" s="432"/>
      <c r="L25" s="424"/>
      <c r="M25" s="416"/>
    </row>
    <row r="26" spans="2:13" ht="15" customHeight="1" x14ac:dyDescent="0.35">
      <c r="B26" s="413"/>
      <c r="C26" s="436" t="s">
        <v>938</v>
      </c>
      <c r="D26" s="436" t="s">
        <v>939</v>
      </c>
      <c r="E26" s="432"/>
      <c r="F26" s="431"/>
      <c r="G26" s="431"/>
      <c r="H26" s="431"/>
      <c r="I26" s="431"/>
      <c r="J26" s="431"/>
      <c r="K26" s="432"/>
      <c r="L26" s="436" t="str">
        <f>D26</f>
        <v>Ventes nationales de la production nationale</v>
      </c>
      <c r="M26" s="416"/>
    </row>
    <row r="27" spans="2:13" x14ac:dyDescent="0.35">
      <c r="B27" s="413"/>
      <c r="C27" s="424" t="s">
        <v>980</v>
      </c>
      <c r="D27" s="424" t="s">
        <v>983</v>
      </c>
      <c r="E27" s="56">
        <f>'Pro 2'!G34</f>
        <v>0</v>
      </c>
      <c r="F27" s="56">
        <f>'Pro 2'!H34</f>
        <v>0</v>
      </c>
      <c r="G27" s="56">
        <f>'Pro 2'!I34</f>
        <v>0</v>
      </c>
      <c r="H27" s="56">
        <f>'Pro 2'!J34</f>
        <v>0</v>
      </c>
      <c r="I27" s="56">
        <f>'Pro 2'!K34</f>
        <v>0</v>
      </c>
      <c r="J27" s="426"/>
      <c r="K27" s="426"/>
      <c r="L27" s="424" t="str">
        <f>D27</f>
        <v>Total - Volume (mètres)</v>
      </c>
      <c r="M27" s="416"/>
    </row>
    <row r="28" spans="2:13" x14ac:dyDescent="0.35">
      <c r="B28" s="413"/>
      <c r="C28" s="424" t="s">
        <v>535</v>
      </c>
      <c r="D28" s="424" t="s">
        <v>940</v>
      </c>
      <c r="E28" s="56">
        <f>'Pro 2'!G35/1000</f>
        <v>0</v>
      </c>
      <c r="F28" s="56">
        <f>'Pro 2'!H35/1000</f>
        <v>0</v>
      </c>
      <c r="G28" s="56">
        <f>'Pro 2'!I35/1000</f>
        <v>0</v>
      </c>
      <c r="H28" s="56">
        <f>'Pro 2'!J35/1000</f>
        <v>0</v>
      </c>
      <c r="I28" s="56">
        <f>'Pro 2'!K35/1000</f>
        <v>0</v>
      </c>
      <c r="J28" s="426"/>
      <c r="K28" s="426"/>
      <c r="L28" s="424" t="str">
        <f>D28</f>
        <v>Total - Valeur (000 $)</v>
      </c>
      <c r="M28" s="416"/>
    </row>
    <row r="29" spans="2:13" x14ac:dyDescent="0.35">
      <c r="B29" s="433"/>
      <c r="C29" s="428" t="s">
        <v>536</v>
      </c>
      <c r="D29" s="428" t="s">
        <v>941</v>
      </c>
      <c r="E29" s="429">
        <f>IF(E27=0,0,E28/E27)*1000</f>
        <v>0</v>
      </c>
      <c r="F29" s="429">
        <f t="shared" ref="F29:I29" si="5">IF(F27=0,0,F28/F27)*1000</f>
        <v>0</v>
      </c>
      <c r="G29" s="429">
        <f t="shared" si="5"/>
        <v>0</v>
      </c>
      <c r="H29" s="429">
        <f t="shared" si="5"/>
        <v>0</v>
      </c>
      <c r="I29" s="429">
        <f t="shared" si="5"/>
        <v>0</v>
      </c>
      <c r="J29" s="430"/>
      <c r="K29" s="430"/>
      <c r="L29" s="428" t="str">
        <f>D29</f>
        <v>Total - Valeur unitaire ($/tonne)</v>
      </c>
      <c r="M29" s="434"/>
    </row>
    <row r="30" spans="2:13" x14ac:dyDescent="0.35">
      <c r="B30" s="433"/>
      <c r="C30" s="414"/>
      <c r="D30" s="414"/>
      <c r="E30" s="430"/>
      <c r="F30" s="430"/>
      <c r="G30" s="430"/>
      <c r="H30" s="430"/>
      <c r="I30" s="430"/>
      <c r="J30" s="430"/>
      <c r="K30" s="430"/>
      <c r="L30" s="414"/>
      <c r="M30" s="416"/>
    </row>
    <row r="31" spans="2:13" x14ac:dyDescent="0.35">
      <c r="B31" s="413"/>
      <c r="C31" s="420" t="s">
        <v>565</v>
      </c>
      <c r="D31" s="420" t="s">
        <v>942</v>
      </c>
      <c r="E31" s="431"/>
      <c r="F31" s="431"/>
      <c r="G31" s="431"/>
      <c r="H31" s="431"/>
      <c r="I31" s="431"/>
      <c r="J31" s="431"/>
      <c r="K31" s="432"/>
      <c r="L31" s="420" t="str">
        <f>D31</f>
        <v xml:space="preserve">Ventes à l'exportation </v>
      </c>
      <c r="M31" s="416"/>
    </row>
    <row r="32" spans="2:13" x14ac:dyDescent="0.35">
      <c r="B32" s="413"/>
      <c r="C32" s="424" t="str">
        <f t="shared" ref="C32:D34" si="6">C27</f>
        <v>Total - Volume (metres)</v>
      </c>
      <c r="D32" s="424" t="str">
        <f t="shared" si="6"/>
        <v>Total - Volume (mètres)</v>
      </c>
      <c r="E32" s="56">
        <f>'Pro 2'!G37</f>
        <v>0</v>
      </c>
      <c r="F32" s="56">
        <f>'Pro 2'!H37</f>
        <v>0</v>
      </c>
      <c r="G32" s="56">
        <f>'Pro 2'!I37</f>
        <v>0</v>
      </c>
      <c r="H32" s="56">
        <f>'Pro 2'!J37</f>
        <v>0</v>
      </c>
      <c r="I32" s="56">
        <f>'Pro 2'!K37</f>
        <v>0</v>
      </c>
      <c r="J32" s="426"/>
      <c r="K32" s="426"/>
      <c r="L32" s="424" t="str">
        <f>D32</f>
        <v>Total - Volume (mètres)</v>
      </c>
      <c r="M32" s="416"/>
    </row>
    <row r="33" spans="2:13" x14ac:dyDescent="0.35">
      <c r="B33" s="413"/>
      <c r="C33" s="424" t="str">
        <f t="shared" si="6"/>
        <v>Total - Value ($000)</v>
      </c>
      <c r="D33" s="424" t="str">
        <f t="shared" si="6"/>
        <v>Total - Valeur (000 $)</v>
      </c>
      <c r="E33" s="427">
        <f>'Pro 2'!G38/1000</f>
        <v>0</v>
      </c>
      <c r="F33" s="427">
        <f>'Pro 2'!H38/1000</f>
        <v>0</v>
      </c>
      <c r="G33" s="427">
        <f>'Pro 2'!I38/1000</f>
        <v>0</v>
      </c>
      <c r="H33" s="427">
        <f>'Pro 2'!J38/1000</f>
        <v>0</v>
      </c>
      <c r="I33" s="427">
        <f>'Pro 2'!K38/1000</f>
        <v>0</v>
      </c>
      <c r="J33" s="426"/>
      <c r="K33" s="426"/>
      <c r="L33" s="424" t="str">
        <f>D33</f>
        <v>Total - Valeur (000 $)</v>
      </c>
      <c r="M33" s="416"/>
    </row>
    <row r="34" spans="2:13" x14ac:dyDescent="0.35">
      <c r="B34" s="433"/>
      <c r="C34" s="428" t="str">
        <f t="shared" si="6"/>
        <v>Total - Unit value ($/tonne)</v>
      </c>
      <c r="D34" s="428" t="str">
        <f t="shared" si="6"/>
        <v>Total - Valeur unitaire ($/tonne)</v>
      </c>
      <c r="E34" s="429">
        <f>IF(E32=0,0,E33/E32)*1000</f>
        <v>0</v>
      </c>
      <c r="F34" s="429">
        <f t="shared" ref="F34:I34" si="7">IF(F32=0,0,F33/F32)*1000</f>
        <v>0</v>
      </c>
      <c r="G34" s="429">
        <f t="shared" si="7"/>
        <v>0</v>
      </c>
      <c r="H34" s="429">
        <f t="shared" si="7"/>
        <v>0</v>
      </c>
      <c r="I34" s="429">
        <f t="shared" si="7"/>
        <v>0</v>
      </c>
      <c r="J34" s="430"/>
      <c r="K34" s="430"/>
      <c r="L34" s="428" t="str">
        <f>D34</f>
        <v>Total - Valeur unitaire ($/tonne)</v>
      </c>
      <c r="M34" s="434"/>
    </row>
    <row r="35" spans="2:13" x14ac:dyDescent="0.35">
      <c r="B35" s="413"/>
      <c r="C35" s="414"/>
      <c r="D35" s="414"/>
      <c r="E35" s="431"/>
      <c r="F35" s="431"/>
      <c r="G35" s="431"/>
      <c r="H35" s="431"/>
      <c r="I35" s="431"/>
      <c r="J35" s="431"/>
      <c r="K35" s="432"/>
      <c r="L35" s="414"/>
      <c r="M35" s="416"/>
    </row>
    <row r="36" spans="2:13" x14ac:dyDescent="0.35">
      <c r="B36" s="413"/>
      <c r="C36" s="420" t="s">
        <v>419</v>
      </c>
      <c r="D36" s="420" t="s">
        <v>217</v>
      </c>
      <c r="E36" s="431"/>
      <c r="F36" s="431"/>
      <c r="G36" s="431"/>
      <c r="H36" s="431"/>
      <c r="I36" s="431"/>
      <c r="J36" s="431"/>
      <c r="K36" s="432"/>
      <c r="L36" s="420" t="str">
        <f>D36</f>
        <v>Nombre d'employés</v>
      </c>
      <c r="M36" s="416"/>
    </row>
    <row r="37" spans="2:13" x14ac:dyDescent="0.35">
      <c r="B37" s="413"/>
      <c r="C37" s="424" t="s">
        <v>366</v>
      </c>
      <c r="D37" s="424" t="s">
        <v>67</v>
      </c>
      <c r="E37" s="427">
        <f>'Pro 3'!G92</f>
        <v>0</v>
      </c>
      <c r="F37" s="427">
        <f>'Pro 3'!H92</f>
        <v>0</v>
      </c>
      <c r="G37" s="427">
        <f>'Pro 3'!I92</f>
        <v>0</v>
      </c>
      <c r="H37" s="427">
        <f>'Pro 3'!J92</f>
        <v>0</v>
      </c>
      <c r="I37" s="427">
        <f>'Pro 3'!K92</f>
        <v>0</v>
      </c>
      <c r="J37" s="426"/>
      <c r="K37" s="426"/>
      <c r="L37" s="424" t="str">
        <f>D37</f>
        <v>Emploi direct</v>
      </c>
      <c r="M37" s="416"/>
    </row>
    <row r="38" spans="2:13" x14ac:dyDescent="0.35">
      <c r="B38" s="413"/>
      <c r="C38" s="424" t="s">
        <v>369</v>
      </c>
      <c r="D38" s="424" t="s">
        <v>69</v>
      </c>
      <c r="E38" s="427">
        <f>'Pro 3'!G93</f>
        <v>0</v>
      </c>
      <c r="F38" s="427">
        <f>'Pro 3'!H93</f>
        <v>0</v>
      </c>
      <c r="G38" s="427">
        <f>'Pro 3'!I93</f>
        <v>0</v>
      </c>
      <c r="H38" s="427">
        <f>'Pro 3'!J93</f>
        <v>0</v>
      </c>
      <c r="I38" s="427">
        <f>'Pro 3'!K93</f>
        <v>0</v>
      </c>
      <c r="J38" s="426"/>
      <c r="K38" s="426"/>
      <c r="L38" s="424" t="str">
        <f>D38</f>
        <v>Emploi indirect</v>
      </c>
      <c r="M38" s="416"/>
    </row>
    <row r="39" spans="2:13" x14ac:dyDescent="0.35">
      <c r="B39" s="433"/>
      <c r="C39" s="420" t="s">
        <v>943</v>
      </c>
      <c r="D39" s="420" t="s">
        <v>944</v>
      </c>
      <c r="E39" s="429">
        <f>SUM(E37:E38)</f>
        <v>0</v>
      </c>
      <c r="F39" s="429">
        <f t="shared" ref="F39:I39" si="8">SUM(F37:F38)</f>
        <v>0</v>
      </c>
      <c r="G39" s="429">
        <f t="shared" si="8"/>
        <v>0</v>
      </c>
      <c r="H39" s="429">
        <f t="shared" si="8"/>
        <v>0</v>
      </c>
      <c r="I39" s="429">
        <f t="shared" si="8"/>
        <v>0</v>
      </c>
      <c r="J39" s="430"/>
      <c r="K39" s="430"/>
      <c r="L39" s="420" t="str">
        <f>D39</f>
        <v>Total - Nombre d'employés</v>
      </c>
      <c r="M39" s="434"/>
    </row>
    <row r="40" spans="2:13" x14ac:dyDescent="0.35">
      <c r="B40" s="413"/>
      <c r="C40" s="437"/>
      <c r="D40" s="437"/>
      <c r="E40" s="431"/>
      <c r="F40" s="431"/>
      <c r="G40" s="431"/>
      <c r="H40" s="431"/>
      <c r="I40" s="431"/>
      <c r="J40" s="431"/>
      <c r="K40" s="432"/>
      <c r="L40" s="437"/>
      <c r="M40" s="416"/>
    </row>
    <row r="41" spans="2:13" x14ac:dyDescent="0.35">
      <c r="B41" s="413"/>
      <c r="C41" s="420" t="s">
        <v>945</v>
      </c>
      <c r="D41" s="420" t="s">
        <v>946</v>
      </c>
      <c r="E41" s="431"/>
      <c r="F41" s="431"/>
      <c r="G41" s="431"/>
      <c r="H41" s="431"/>
      <c r="I41" s="431"/>
      <c r="J41" s="431"/>
      <c r="K41" s="432"/>
      <c r="L41" s="420" t="str">
        <f>D41</f>
        <v>Nombre d'heures travaillées (000)</v>
      </c>
      <c r="M41" s="416"/>
    </row>
    <row r="42" spans="2:13" x14ac:dyDescent="0.35">
      <c r="B42" s="413"/>
      <c r="C42" s="424" t="str">
        <f>C37</f>
        <v>Direct employment</v>
      </c>
      <c r="D42" s="424" t="str">
        <f>D37</f>
        <v>Emploi direct</v>
      </c>
      <c r="E42" s="427">
        <f>'Pro 3'!G98/1000</f>
        <v>0</v>
      </c>
      <c r="F42" s="427">
        <f>'Pro 3'!H98/1000</f>
        <v>0</v>
      </c>
      <c r="G42" s="427">
        <f>'Pro 3'!I98/1000</f>
        <v>0</v>
      </c>
      <c r="H42" s="427">
        <f>'Pro 3'!J98/1000</f>
        <v>0</v>
      </c>
      <c r="I42" s="427">
        <f>'Pro 3'!K98/1000</f>
        <v>0</v>
      </c>
      <c r="J42" s="426"/>
      <c r="K42" s="426"/>
      <c r="L42" s="424" t="str">
        <f>D42</f>
        <v>Emploi direct</v>
      </c>
      <c r="M42" s="416"/>
    </row>
    <row r="43" spans="2:13" x14ac:dyDescent="0.35">
      <c r="B43" s="413"/>
      <c r="C43" s="424" t="str">
        <f>C38</f>
        <v>Indirect employment</v>
      </c>
      <c r="D43" s="424" t="str">
        <f>D38</f>
        <v>Emploi indirect</v>
      </c>
      <c r="E43" s="427">
        <f>'Pro 3'!G99/1000</f>
        <v>0</v>
      </c>
      <c r="F43" s="427">
        <f>'Pro 3'!H99/1000</f>
        <v>0</v>
      </c>
      <c r="G43" s="427">
        <f>'Pro 3'!I99/1000</f>
        <v>0</v>
      </c>
      <c r="H43" s="427">
        <f>'Pro 3'!J99/1000</f>
        <v>0</v>
      </c>
      <c r="I43" s="427">
        <f>'Pro 3'!K99/1000</f>
        <v>0</v>
      </c>
      <c r="J43" s="426"/>
      <c r="K43" s="426"/>
      <c r="L43" s="424" t="str">
        <f>D43</f>
        <v>Emploi indirect</v>
      </c>
      <c r="M43" s="416"/>
    </row>
    <row r="44" spans="2:13" x14ac:dyDescent="0.35">
      <c r="B44" s="433"/>
      <c r="C44" s="438" t="str">
        <f>"Total - "&amp;C41</f>
        <v>Total - Hours worked (000)</v>
      </c>
      <c r="D44" s="438" t="str">
        <f>"Total - "&amp;D41</f>
        <v>Total - Nombre d'heures travaillées (000)</v>
      </c>
      <c r="E44" s="429">
        <f>SUM(E42:E43)</f>
        <v>0</v>
      </c>
      <c r="F44" s="429">
        <f t="shared" ref="F44:I44" si="9">SUM(F42:F43)</f>
        <v>0</v>
      </c>
      <c r="G44" s="429">
        <f t="shared" si="9"/>
        <v>0</v>
      </c>
      <c r="H44" s="429">
        <f t="shared" si="9"/>
        <v>0</v>
      </c>
      <c r="I44" s="429">
        <f t="shared" si="9"/>
        <v>0</v>
      </c>
      <c r="J44" s="430"/>
      <c r="K44" s="430"/>
      <c r="L44" s="428" t="str">
        <f>D44</f>
        <v>Total - Nombre d'heures travaillées (000)</v>
      </c>
      <c r="M44" s="434"/>
    </row>
    <row r="45" spans="2:13" x14ac:dyDescent="0.35">
      <c r="B45" s="413"/>
      <c r="C45" s="437"/>
      <c r="D45" s="437"/>
      <c r="E45" s="426"/>
      <c r="F45" s="426"/>
      <c r="G45" s="426"/>
      <c r="H45" s="426"/>
      <c r="I45" s="426"/>
      <c r="J45" s="426"/>
      <c r="K45" s="426"/>
      <c r="L45" s="437"/>
      <c r="M45" s="416"/>
    </row>
    <row r="46" spans="2:13" x14ac:dyDescent="0.35">
      <c r="B46" s="413"/>
      <c r="C46" s="420" t="s">
        <v>530</v>
      </c>
      <c r="D46" s="420" t="s">
        <v>947</v>
      </c>
      <c r="E46" s="431"/>
      <c r="F46" s="431"/>
      <c r="G46" s="431"/>
      <c r="H46" s="431"/>
      <c r="I46" s="431"/>
      <c r="J46" s="431"/>
      <c r="K46" s="432"/>
      <c r="L46" s="420" t="str">
        <f>D46</f>
        <v>Salaires (000 $)</v>
      </c>
      <c r="M46" s="416"/>
    </row>
    <row r="47" spans="2:13" x14ac:dyDescent="0.35">
      <c r="B47" s="413"/>
      <c r="C47" s="424" t="str">
        <f>C42</f>
        <v>Direct employment</v>
      </c>
      <c r="D47" s="424" t="str">
        <f>D42</f>
        <v>Emploi direct</v>
      </c>
      <c r="E47" s="427">
        <f>SUM('Pro 3'!G104:G105)/1000</f>
        <v>0</v>
      </c>
      <c r="F47" s="427">
        <f>SUM('Pro 3'!H104:H105)/1000</f>
        <v>0</v>
      </c>
      <c r="G47" s="427">
        <f>SUM('Pro 3'!I104:I105)/1000</f>
        <v>0</v>
      </c>
      <c r="H47" s="427">
        <f>SUM('Pro 3'!J104:J105)/1000</f>
        <v>0</v>
      </c>
      <c r="I47" s="427">
        <f>SUM('Pro 3'!K104:K105)/1000</f>
        <v>0</v>
      </c>
      <c r="J47" s="426"/>
      <c r="K47" s="426"/>
      <c r="L47" s="424" t="str">
        <f>D47</f>
        <v>Emploi direct</v>
      </c>
      <c r="M47" s="416"/>
    </row>
    <row r="48" spans="2:13" x14ac:dyDescent="0.35">
      <c r="B48" s="413"/>
      <c r="C48" s="424" t="str">
        <f>C43</f>
        <v>Indirect employment</v>
      </c>
      <c r="D48" s="424" t="str">
        <f>D43</f>
        <v>Emploi indirect</v>
      </c>
      <c r="E48" s="427">
        <f>'Pro 3'!G106/1000</f>
        <v>0</v>
      </c>
      <c r="F48" s="427">
        <f>'Pro 3'!H106/1000</f>
        <v>0</v>
      </c>
      <c r="G48" s="427">
        <f>'Pro 3'!I106/1000</f>
        <v>0</v>
      </c>
      <c r="H48" s="427">
        <f>'Pro 3'!J106/1000</f>
        <v>0</v>
      </c>
      <c r="I48" s="427">
        <f>'Pro 3'!K106/1000</f>
        <v>0</v>
      </c>
      <c r="J48" s="426"/>
      <c r="K48" s="426"/>
      <c r="L48" s="424" t="str">
        <f>D48</f>
        <v>Emploi indirect</v>
      </c>
      <c r="M48" s="416"/>
    </row>
    <row r="49" spans="2:13" x14ac:dyDescent="0.35">
      <c r="B49" s="433"/>
      <c r="C49" s="438" t="str">
        <f>"Total - "&amp;C46</f>
        <v>Total - Wages ($000)</v>
      </c>
      <c r="D49" s="438" t="str">
        <f>"Total - "&amp;D46</f>
        <v>Total - Salaires (000 $)</v>
      </c>
      <c r="E49" s="429">
        <f>SUM(E47:E48)</f>
        <v>0</v>
      </c>
      <c r="F49" s="429">
        <f t="shared" ref="F49:I49" si="10">SUM(F47:F48)</f>
        <v>0</v>
      </c>
      <c r="G49" s="429">
        <f t="shared" si="10"/>
        <v>0</v>
      </c>
      <c r="H49" s="429">
        <f t="shared" si="10"/>
        <v>0</v>
      </c>
      <c r="I49" s="429">
        <f t="shared" si="10"/>
        <v>0</v>
      </c>
      <c r="J49" s="430"/>
      <c r="K49" s="430"/>
      <c r="L49" s="428" t="str">
        <f>D49</f>
        <v>Total - Salaires (000 $)</v>
      </c>
      <c r="M49" s="434"/>
    </row>
    <row r="50" spans="2:13" x14ac:dyDescent="0.35">
      <c r="B50" s="413"/>
      <c r="C50" s="424"/>
      <c r="D50" s="424"/>
      <c r="E50" s="426"/>
      <c r="F50" s="426"/>
      <c r="G50" s="426"/>
      <c r="H50" s="426"/>
      <c r="I50" s="426"/>
      <c r="J50" s="426"/>
      <c r="K50" s="426"/>
      <c r="L50" s="424"/>
      <c r="M50" s="416"/>
    </row>
    <row r="51" spans="2:13" x14ac:dyDescent="0.35">
      <c r="B51" s="413"/>
      <c r="C51" s="420" t="s">
        <v>80</v>
      </c>
      <c r="D51" s="420" t="s">
        <v>81</v>
      </c>
      <c r="E51" s="426"/>
      <c r="F51" s="426"/>
      <c r="G51" s="426"/>
      <c r="H51" s="426"/>
      <c r="I51" s="426"/>
      <c r="J51" s="426"/>
      <c r="K51" s="426"/>
      <c r="L51" s="420" t="str">
        <f>D51</f>
        <v>Productivité</v>
      </c>
      <c r="M51" s="416"/>
    </row>
    <row r="52" spans="2:13" x14ac:dyDescent="0.35">
      <c r="B52" s="413"/>
      <c r="C52" s="424" t="s">
        <v>984</v>
      </c>
      <c r="D52" s="424" t="s">
        <v>986</v>
      </c>
      <c r="E52" s="56">
        <f>IF(E37=0,0,E$14/E37)</f>
        <v>0</v>
      </c>
      <c r="F52" s="56">
        <f t="shared" ref="F52:I52" si="11">IF(F37=0,0,F$14/F37)</f>
        <v>0</v>
      </c>
      <c r="G52" s="56">
        <f t="shared" si="11"/>
        <v>0</v>
      </c>
      <c r="H52" s="56">
        <f t="shared" si="11"/>
        <v>0</v>
      </c>
      <c r="I52" s="56">
        <f t="shared" si="11"/>
        <v>0</v>
      </c>
      <c r="J52" s="426"/>
      <c r="K52" s="426"/>
      <c r="L52" s="424" t="str">
        <f>D52</f>
        <v>Mètres / employé (direct)</v>
      </c>
      <c r="M52" s="416"/>
    </row>
    <row r="53" spans="2:13" x14ac:dyDescent="0.35">
      <c r="B53" s="413"/>
      <c r="C53" s="424" t="s">
        <v>985</v>
      </c>
      <c r="D53" s="424" t="s">
        <v>987</v>
      </c>
      <c r="E53" s="56">
        <f>IF(E42=0,0,E$14/(E42*1000))</f>
        <v>0</v>
      </c>
      <c r="F53" s="56">
        <f t="shared" ref="F53:I53" si="12">IF(F42=0,0,F$14/(F42*1000))</f>
        <v>0</v>
      </c>
      <c r="G53" s="56">
        <f t="shared" si="12"/>
        <v>0</v>
      </c>
      <c r="H53" s="56">
        <f t="shared" si="12"/>
        <v>0</v>
      </c>
      <c r="I53" s="56">
        <f t="shared" si="12"/>
        <v>0</v>
      </c>
      <c r="J53" s="426"/>
      <c r="K53" s="426"/>
      <c r="L53" s="424" t="str">
        <f>D53</f>
        <v>Mètres / heure travaillée (direct)</v>
      </c>
      <c r="M53" s="416"/>
    </row>
    <row r="54" spans="2:13" x14ac:dyDescent="0.35">
      <c r="B54" s="413"/>
      <c r="C54" s="437"/>
      <c r="D54" s="437"/>
      <c r="E54" s="426"/>
      <c r="F54" s="426"/>
      <c r="G54" s="426"/>
      <c r="H54" s="426"/>
      <c r="I54" s="426"/>
      <c r="J54" s="426"/>
      <c r="K54" s="426"/>
      <c r="L54" s="437"/>
      <c r="M54" s="416"/>
    </row>
    <row r="55" spans="2:13" x14ac:dyDescent="0.35">
      <c r="B55" s="413"/>
      <c r="C55" s="420" t="s">
        <v>534</v>
      </c>
      <c r="D55" s="420" t="s">
        <v>948</v>
      </c>
      <c r="E55" s="426"/>
      <c r="F55" s="426"/>
      <c r="G55" s="426"/>
      <c r="H55" s="426"/>
      <c r="I55" s="426"/>
      <c r="J55" s="426"/>
      <c r="K55" s="426"/>
      <c r="L55" s="420" t="str">
        <f>D55</f>
        <v>Stocks</v>
      </c>
      <c r="M55" s="416"/>
    </row>
    <row r="56" spans="2:13" x14ac:dyDescent="0.35">
      <c r="B56" s="413"/>
      <c r="C56" s="424" t="str">
        <f t="shared" ref="C56:D58" si="13">C32</f>
        <v>Total - Volume (metres)</v>
      </c>
      <c r="D56" s="424" t="str">
        <f t="shared" si="13"/>
        <v>Total - Volume (mètres)</v>
      </c>
      <c r="E56" s="427">
        <f>'Pro 2'!G40</f>
        <v>0</v>
      </c>
      <c r="F56" s="427">
        <f>'Pro 2'!H40</f>
        <v>0</v>
      </c>
      <c r="G56" s="427">
        <f>'Pro 2'!I40</f>
        <v>0</v>
      </c>
      <c r="H56" s="427">
        <f>'Pro 2'!J40</f>
        <v>0</v>
      </c>
      <c r="I56" s="427">
        <f>'Pro 2'!K40</f>
        <v>0</v>
      </c>
      <c r="J56" s="426"/>
      <c r="K56" s="426"/>
      <c r="L56" s="424" t="str">
        <f>D56</f>
        <v>Total - Volume (mètres)</v>
      </c>
      <c r="M56" s="416"/>
    </row>
    <row r="57" spans="2:13" x14ac:dyDescent="0.35">
      <c r="B57" s="413"/>
      <c r="C57" s="424" t="str">
        <f t="shared" si="13"/>
        <v>Total - Value ($000)</v>
      </c>
      <c r="D57" s="424" t="str">
        <f t="shared" si="13"/>
        <v>Total - Valeur (000 $)</v>
      </c>
      <c r="E57" s="427">
        <f>'Pro 2'!G41/1000</f>
        <v>0</v>
      </c>
      <c r="F57" s="427">
        <f>'Pro 2'!H41/1000</f>
        <v>0</v>
      </c>
      <c r="G57" s="427">
        <f>'Pro 2'!I41/1000</f>
        <v>0</v>
      </c>
      <c r="H57" s="427">
        <f>'Pro 2'!J41/1000</f>
        <v>0</v>
      </c>
      <c r="I57" s="427">
        <f>'Pro 2'!K41/1000</f>
        <v>0</v>
      </c>
      <c r="J57" s="426"/>
      <c r="K57" s="426"/>
      <c r="L57" s="424" t="str">
        <f>D57</f>
        <v>Total - Valeur (000 $)</v>
      </c>
      <c r="M57" s="416"/>
    </row>
    <row r="58" spans="2:13" x14ac:dyDescent="0.35">
      <c r="B58" s="433"/>
      <c r="C58" s="428" t="str">
        <f t="shared" si="13"/>
        <v>Total - Unit value ($/tonne)</v>
      </c>
      <c r="D58" s="428" t="str">
        <f t="shared" si="13"/>
        <v>Total - Valeur unitaire ($/tonne)</v>
      </c>
      <c r="E58" s="429">
        <f>IF(E56=0,0,E57/E56)*1000</f>
        <v>0</v>
      </c>
      <c r="F58" s="429">
        <f t="shared" ref="F58:I58" si="14">IF(F56=0,0,F57/F56)*1000</f>
        <v>0</v>
      </c>
      <c r="G58" s="429">
        <f t="shared" si="14"/>
        <v>0</v>
      </c>
      <c r="H58" s="429">
        <f t="shared" si="14"/>
        <v>0</v>
      </c>
      <c r="I58" s="429">
        <f t="shared" si="14"/>
        <v>0</v>
      </c>
      <c r="J58" s="430"/>
      <c r="K58" s="430"/>
      <c r="L58" s="428" t="str">
        <f>D58</f>
        <v>Total - Valeur unitaire ($/tonne)</v>
      </c>
      <c r="M58" s="434"/>
    </row>
    <row r="59" spans="2:13" x14ac:dyDescent="0.35">
      <c r="B59" s="413"/>
      <c r="C59" s="437"/>
      <c r="D59" s="437"/>
      <c r="E59" s="426"/>
      <c r="F59" s="426"/>
      <c r="G59" s="426"/>
      <c r="H59" s="426"/>
      <c r="I59" s="426"/>
      <c r="J59" s="426"/>
      <c r="K59" s="426"/>
      <c r="L59" s="437"/>
      <c r="M59" s="416"/>
    </row>
    <row r="60" spans="2:13" x14ac:dyDescent="0.35">
      <c r="B60" s="383"/>
      <c r="C60" s="437"/>
      <c r="D60" s="437"/>
      <c r="E60" s="426"/>
      <c r="F60" s="426"/>
      <c r="G60" s="426"/>
      <c r="H60" s="996" t="s">
        <v>949</v>
      </c>
      <c r="I60" s="996"/>
      <c r="J60" s="996"/>
      <c r="K60" s="439"/>
      <c r="L60" s="437"/>
      <c r="M60" s="416"/>
    </row>
    <row r="61" spans="2:13" x14ac:dyDescent="0.35">
      <c r="B61" s="413"/>
      <c r="C61" s="437"/>
      <c r="D61" s="437"/>
      <c r="E61" s="366">
        <v>2023</v>
      </c>
      <c r="F61" s="366">
        <v>2024</v>
      </c>
      <c r="G61" s="366">
        <v>2025</v>
      </c>
      <c r="H61" s="440">
        <v>2026</v>
      </c>
      <c r="I61" s="440">
        <v>2027</v>
      </c>
      <c r="J61" s="440">
        <v>2028</v>
      </c>
      <c r="K61" s="423"/>
      <c r="L61" s="437"/>
      <c r="M61" s="416"/>
    </row>
    <row r="62" spans="2:13" x14ac:dyDescent="0.35">
      <c r="B62" s="413"/>
      <c r="C62" s="420" t="s">
        <v>950</v>
      </c>
      <c r="D62" s="420" t="s">
        <v>951</v>
      </c>
      <c r="E62" s="427">
        <f>'Pro 3'!E314/1000</f>
        <v>0</v>
      </c>
      <c r="F62" s="427">
        <f>'Pro 3'!F314/1000</f>
        <v>0</v>
      </c>
      <c r="G62" s="427">
        <f>'Pro 3'!G314/1000</f>
        <v>0</v>
      </c>
      <c r="H62" s="427">
        <f>'Pro 3'!H314/1000</f>
        <v>0</v>
      </c>
      <c r="I62" s="427">
        <f>'Pro 3'!I314/1000</f>
        <v>0</v>
      </c>
      <c r="J62" s="427">
        <f>'Pro 3'!J314/1000</f>
        <v>0</v>
      </c>
      <c r="K62" s="426"/>
      <c r="L62" s="420" t="str">
        <f>D62</f>
        <v>Investissements (000 $)</v>
      </c>
      <c r="M62" s="416"/>
    </row>
    <row r="63" spans="2:13" x14ac:dyDescent="0.35">
      <c r="B63" s="413"/>
      <c r="C63" s="441"/>
      <c r="D63" s="442"/>
      <c r="E63" s="414"/>
      <c r="F63" s="414"/>
      <c r="G63" s="414"/>
      <c r="H63" s="414"/>
      <c r="I63" s="414"/>
      <c r="J63" s="414"/>
      <c r="K63" s="414"/>
      <c r="L63" s="414"/>
      <c r="M63" s="416"/>
    </row>
    <row r="64" spans="2:13" x14ac:dyDescent="0.35">
      <c r="B64" s="413"/>
      <c r="C64" s="442" t="s">
        <v>925</v>
      </c>
      <c r="D64" s="442"/>
      <c r="E64" s="414"/>
      <c r="F64" s="414"/>
      <c r="G64" s="414"/>
      <c r="H64" s="414"/>
      <c r="I64" s="414"/>
      <c r="J64" s="414"/>
      <c r="K64" s="414"/>
      <c r="L64" s="414"/>
      <c r="M64" s="416"/>
    </row>
    <row r="65" spans="2:13" x14ac:dyDescent="0.35">
      <c r="B65" s="413"/>
      <c r="C65" s="442"/>
      <c r="D65" s="442"/>
      <c r="E65" s="414"/>
      <c r="F65" s="414"/>
      <c r="G65" s="414"/>
      <c r="H65" s="414"/>
      <c r="I65" s="414"/>
      <c r="J65" s="414"/>
      <c r="K65" s="414"/>
      <c r="L65" s="414"/>
      <c r="M65" s="416"/>
    </row>
    <row r="66" spans="2:13" x14ac:dyDescent="0.35">
      <c r="B66" s="413"/>
      <c r="C66" s="442" t="s">
        <v>927</v>
      </c>
      <c r="D66" s="442"/>
      <c r="E66" s="414"/>
      <c r="F66" s="414"/>
      <c r="G66" s="414"/>
      <c r="H66" s="414"/>
      <c r="I66" s="414"/>
      <c r="J66" s="414"/>
      <c r="K66" s="414"/>
      <c r="L66" s="414"/>
      <c r="M66" s="416"/>
    </row>
    <row r="67" spans="2:13" ht="15" thickBot="1" x14ac:dyDescent="0.4">
      <c r="B67" s="443"/>
      <c r="C67" s="402"/>
      <c r="D67" s="402"/>
      <c r="E67" s="444"/>
      <c r="F67" s="444"/>
      <c r="G67" s="444"/>
      <c r="H67" s="444"/>
      <c r="I67" s="444"/>
      <c r="J67" s="444"/>
      <c r="K67" s="444"/>
      <c r="L67" s="444"/>
      <c r="M67" s="445"/>
    </row>
  </sheetData>
  <sheetProtection algorithmName="SHA-512" hashValue="g5cjw7ggck38QlKAETdbR0zDqCQ9znrob8dDwhm1zpKW+uJLNrtv/VOIT8A1aSmB7tjHEwUZFCgKjach3TudAg==" saltValue="ises50RrgMHD1d1Po6W6vQ==" spinCount="100000" sheet="1" objects="1" scenarios="1" selectLockedCells="1"/>
  <mergeCells count="8">
    <mergeCell ref="H60:J60"/>
    <mergeCell ref="H5:I5"/>
    <mergeCell ref="C15:C16"/>
    <mergeCell ref="D15:D16"/>
    <mergeCell ref="L15:L16"/>
    <mergeCell ref="C23:C24"/>
    <mergeCell ref="D23:D24"/>
    <mergeCell ref="L23:L24"/>
  </mergeCells>
  <dataValidations count="3">
    <dataValidation type="list" allowBlank="1" showInputMessage="1" showErrorMessage="1" sqref="C5" xr:uid="{9854DA50-85D7-4ACC-B33C-A24EC01942CC}">
      <formula1>$C$1:$C$6</formula1>
    </dataValidation>
    <dataValidation type="list" allowBlank="1" showInputMessage="1" showErrorMessage="1" sqref="B5" xr:uid="{107BA386-7342-4997-A342-7C3A01C29A39}">
      <formula1>$B$1:$B$3</formula1>
    </dataValidation>
    <dataValidation type="list" allowBlank="1" showInputMessage="1" showErrorMessage="1" sqref="D5" xr:uid="{279024DF-5A99-4301-9A20-EE299E1F559C}">
      <formula1>$D$1:$D$8</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5C374-C52C-4FB8-A27C-A3294D15DA53}">
  <sheetPr>
    <tabColor rgb="FFFF0000"/>
  </sheetPr>
  <dimension ref="A4:W27"/>
  <sheetViews>
    <sheetView workbookViewId="0"/>
  </sheetViews>
  <sheetFormatPr defaultRowHeight="14.5" x14ac:dyDescent="0.35"/>
  <cols>
    <col min="1" max="1" width="2" customWidth="1"/>
    <col min="2" max="2" width="38.54296875" customWidth="1"/>
    <col min="3" max="3" width="9.08984375" hidden="1" customWidth="1"/>
    <col min="4" max="8" width="10" customWidth="1"/>
    <col min="9" max="9" width="0" hidden="1" customWidth="1"/>
    <col min="10" max="10" width="41.08984375" customWidth="1"/>
    <col min="11" max="11" width="2" customWidth="1"/>
    <col min="12" max="12" width="2.6328125" customWidth="1"/>
    <col min="13" max="13" width="4.36328125" customWidth="1"/>
    <col min="14" max="14" width="38.54296875" customWidth="1"/>
    <col min="15" max="15" width="9.08984375" hidden="1" customWidth="1"/>
    <col min="16" max="20" width="10" customWidth="1"/>
    <col min="21" max="21" width="0" hidden="1" customWidth="1"/>
    <col min="22" max="22" width="41.08984375" customWidth="1"/>
    <col min="23" max="23" width="4.36328125" customWidth="1"/>
  </cols>
  <sheetData>
    <row r="4" spans="1:23" x14ac:dyDescent="0.35">
      <c r="A4" s="358"/>
      <c r="B4" s="358"/>
      <c r="C4" s="358"/>
      <c r="D4" s="446">
        <f>'Pro 3'!G23</f>
        <v>0</v>
      </c>
      <c r="E4" s="446">
        <f>'Pro 3'!H23</f>
        <v>0</v>
      </c>
      <c r="F4" s="446">
        <f>'Pro 3'!I23</f>
        <v>0</v>
      </c>
      <c r="G4" s="446">
        <f>'Pro 3'!J23</f>
        <v>0</v>
      </c>
      <c r="H4" s="446">
        <f>'Pro 3'!K23</f>
        <v>0</v>
      </c>
      <c r="I4" s="447"/>
      <c r="J4" s="447"/>
      <c r="K4" s="447"/>
      <c r="L4" s="447"/>
      <c r="M4" s="447"/>
      <c r="P4" s="446">
        <f>'Pro 3'!G48</f>
        <v>0</v>
      </c>
      <c r="Q4" s="446">
        <f>'Pro 3'!H48</f>
        <v>0</v>
      </c>
      <c r="R4" s="446">
        <f>'Pro 3'!I48</f>
        <v>0</v>
      </c>
      <c r="S4" s="446">
        <f>'Pro 3'!J48</f>
        <v>0</v>
      </c>
      <c r="T4" s="446">
        <f>'Pro 3'!K48</f>
        <v>0</v>
      </c>
    </row>
    <row r="5" spans="1:23" ht="15" thickBot="1" x14ac:dyDescent="0.4">
      <c r="A5" s="363"/>
      <c r="B5" s="363"/>
      <c r="C5" s="363"/>
      <c r="D5" s="448"/>
      <c r="E5" s="448"/>
      <c r="F5" s="448"/>
      <c r="G5" s="448"/>
      <c r="H5" s="449"/>
      <c r="I5" s="450"/>
      <c r="J5" s="451"/>
      <c r="K5" s="451"/>
      <c r="L5" s="451"/>
      <c r="M5" s="451"/>
    </row>
    <row r="6" spans="1:23" x14ac:dyDescent="0.35">
      <c r="A6" s="354"/>
      <c r="B6" s="452"/>
      <c r="C6" s="452"/>
      <c r="D6" s="356"/>
      <c r="E6" s="356"/>
      <c r="F6" s="356"/>
      <c r="G6" s="356"/>
      <c r="H6" s="356"/>
      <c r="I6" s="356"/>
      <c r="J6" s="453"/>
      <c r="K6" s="357"/>
      <c r="L6" s="98"/>
      <c r="M6" s="354"/>
      <c r="N6" s="452"/>
      <c r="O6" s="452"/>
      <c r="P6" s="356"/>
      <c r="Q6" s="356"/>
      <c r="R6" s="356"/>
      <c r="S6" s="356"/>
      <c r="T6" s="356"/>
      <c r="U6" s="356"/>
      <c r="V6" s="453"/>
      <c r="W6" s="357"/>
    </row>
    <row r="7" spans="1:23" x14ac:dyDescent="0.35">
      <c r="A7" s="365"/>
      <c r="B7" s="454"/>
      <c r="C7" s="454"/>
      <c r="D7" s="360"/>
      <c r="E7" s="360"/>
      <c r="F7" s="360"/>
      <c r="G7" s="360"/>
      <c r="H7" s="360"/>
      <c r="I7" s="360"/>
      <c r="J7" s="454"/>
      <c r="K7" s="393"/>
      <c r="L7" s="394"/>
      <c r="M7" s="383"/>
      <c r="N7" s="454"/>
      <c r="O7" s="454"/>
      <c r="P7" s="360"/>
      <c r="Q7" s="360"/>
      <c r="R7" s="360"/>
      <c r="S7" s="360"/>
      <c r="T7" s="360"/>
      <c r="U7" s="360"/>
      <c r="V7" s="454"/>
      <c r="W7" s="393"/>
    </row>
    <row r="8" spans="1:23" x14ac:dyDescent="0.35">
      <c r="A8" s="365"/>
      <c r="B8" s="418">
        <f>Intro!E98</f>
        <v>0</v>
      </c>
      <c r="C8" s="366"/>
      <c r="D8" s="998" t="s">
        <v>952</v>
      </c>
      <c r="E8" s="998"/>
      <c r="F8" s="998"/>
      <c r="G8" s="998"/>
      <c r="H8" s="998"/>
      <c r="I8" s="455"/>
      <c r="J8" s="454"/>
      <c r="K8" s="393"/>
      <c r="L8" s="394"/>
      <c r="M8" s="383"/>
      <c r="N8" s="418">
        <f>B8</f>
        <v>0</v>
      </c>
      <c r="O8" s="366"/>
      <c r="P8" s="998" t="str">
        <f>D8</f>
        <v>$/tonne manufactured | $/tonne fabriquée</v>
      </c>
      <c r="Q8" s="998"/>
      <c r="R8" s="998"/>
      <c r="S8" s="998"/>
      <c r="T8" s="998"/>
      <c r="U8" s="455"/>
      <c r="V8" s="454"/>
      <c r="W8" s="393"/>
    </row>
    <row r="9" spans="1:23" x14ac:dyDescent="0.35">
      <c r="A9" s="365"/>
      <c r="B9" s="361"/>
      <c r="C9" s="361"/>
      <c r="D9" s="361"/>
      <c r="E9" s="361"/>
      <c r="F9" s="361"/>
      <c r="G9" s="992" t="s">
        <v>977</v>
      </c>
      <c r="H9" s="992"/>
      <c r="I9" s="364"/>
      <c r="J9" s="456"/>
      <c r="K9" s="362"/>
      <c r="L9" s="98"/>
      <c r="M9" s="365"/>
      <c r="N9" s="361"/>
      <c r="O9" s="361"/>
      <c r="P9" s="361"/>
      <c r="Q9" s="361"/>
      <c r="R9" s="361"/>
      <c r="S9" s="999" t="str">
        <f>G9</f>
        <v>Jan. - Mar.  |  janv. - mars</v>
      </c>
      <c r="T9" s="999"/>
      <c r="U9" s="457"/>
      <c r="V9" s="456"/>
      <c r="W9" s="362"/>
    </row>
    <row r="10" spans="1:23" x14ac:dyDescent="0.35">
      <c r="A10" s="365"/>
      <c r="B10" s="458" t="s">
        <v>953</v>
      </c>
      <c r="C10" s="458" t="s">
        <v>954</v>
      </c>
      <c r="D10" s="459">
        <v>2022</v>
      </c>
      <c r="E10" s="459">
        <v>2023</v>
      </c>
      <c r="F10" s="459">
        <v>2024</v>
      </c>
      <c r="G10" s="459">
        <v>2024</v>
      </c>
      <c r="H10" s="459">
        <v>2025</v>
      </c>
      <c r="I10" s="459"/>
      <c r="J10" s="460" t="str">
        <f>C10</f>
        <v>Matériaux</v>
      </c>
      <c r="K10" s="362"/>
      <c r="L10" s="98"/>
      <c r="M10" s="365"/>
      <c r="N10" s="458" t="str">
        <f>B10</f>
        <v>Material</v>
      </c>
      <c r="O10" s="458" t="str">
        <f>C10</f>
        <v>Matériaux</v>
      </c>
      <c r="P10" s="459">
        <f>D10</f>
        <v>2022</v>
      </c>
      <c r="Q10" s="459">
        <f>E10</f>
        <v>2023</v>
      </c>
      <c r="R10" s="459">
        <f>F10</f>
        <v>2024</v>
      </c>
      <c r="S10" s="459">
        <f>G10</f>
        <v>2024</v>
      </c>
      <c r="T10" s="459">
        <f>H10</f>
        <v>2025</v>
      </c>
      <c r="U10" s="459"/>
      <c r="V10" s="460" t="str">
        <f>O10</f>
        <v>Matériaux</v>
      </c>
      <c r="W10" s="362"/>
    </row>
    <row r="11" spans="1:23" x14ac:dyDescent="0.35">
      <c r="A11" s="461"/>
      <c r="B11" s="462"/>
      <c r="C11" s="462"/>
      <c r="D11" s="463"/>
      <c r="E11" s="463"/>
      <c r="F11" s="463"/>
      <c r="G11" s="463"/>
      <c r="H11" s="463"/>
      <c r="I11" s="463"/>
      <c r="J11" s="464"/>
      <c r="K11" s="465"/>
      <c r="L11" s="466"/>
      <c r="M11" s="461"/>
      <c r="N11" s="462"/>
      <c r="O11" s="462"/>
      <c r="P11" s="463"/>
      <c r="Q11" s="463"/>
      <c r="R11" s="463"/>
      <c r="S11" s="463"/>
      <c r="T11" s="463"/>
      <c r="U11" s="463"/>
      <c r="V11" s="464"/>
      <c r="W11" s="465"/>
    </row>
    <row r="12" spans="1:23" x14ac:dyDescent="0.35">
      <c r="A12" s="365"/>
      <c r="B12" s="388" t="str">
        <f>""""&amp;B23&amp;""""</f>
        <v>"0"</v>
      </c>
      <c r="C12" s="467" t="str">
        <f>"« "&amp;C23&amp;" » "</f>
        <v xml:space="preserve">« 0 » </v>
      </c>
      <c r="D12" s="468">
        <f>IF(ISERROR(D23/D$4),0,(D23/D$4))*1000</f>
        <v>0</v>
      </c>
      <c r="E12" s="468">
        <f t="shared" ref="E12:H12" si="0">IF(ISERROR(E23/E$4),0,(E23/E$4))*1000</f>
        <v>0</v>
      </c>
      <c r="F12" s="468">
        <f t="shared" si="0"/>
        <v>0</v>
      </c>
      <c r="G12" s="468">
        <f t="shared" si="0"/>
        <v>0</v>
      </c>
      <c r="H12" s="468">
        <f t="shared" si="0"/>
        <v>0</v>
      </c>
      <c r="I12" s="468"/>
      <c r="J12" s="469" t="str">
        <f>C12</f>
        <v xml:space="preserve">« 0 » </v>
      </c>
      <c r="K12" s="362"/>
      <c r="L12" s="98"/>
      <c r="M12" s="365"/>
      <c r="N12" s="388" t="str">
        <f>""""&amp;N23&amp;""""</f>
        <v>"0"</v>
      </c>
      <c r="O12" s="467" t="str">
        <f>"« "&amp;O23&amp;" » "</f>
        <v xml:space="preserve">« 0 » </v>
      </c>
      <c r="P12" s="468">
        <f>IF(ISERROR(P23/P$4),0,(P23/P$4))*1000</f>
        <v>0</v>
      </c>
      <c r="Q12" s="468">
        <f t="shared" ref="Q12:T12" si="1">IF(ISERROR(Q23/Q$4),0,(Q23/Q$4))*1000</f>
        <v>0</v>
      </c>
      <c r="R12" s="468">
        <f t="shared" si="1"/>
        <v>0</v>
      </c>
      <c r="S12" s="468">
        <f t="shared" si="1"/>
        <v>0</v>
      </c>
      <c r="T12" s="468">
        <f t="shared" si="1"/>
        <v>0</v>
      </c>
      <c r="U12" s="468"/>
      <c r="V12" s="470" t="str">
        <f>O12</f>
        <v xml:space="preserve">« 0 » </v>
      </c>
      <c r="W12" s="362"/>
    </row>
    <row r="13" spans="1:23" x14ac:dyDescent="0.35">
      <c r="A13" s="365"/>
      <c r="B13" s="388" t="str">
        <f t="shared" ref="B13:B14" si="2">""""&amp;B24&amp;""""</f>
        <v>"0"</v>
      </c>
      <c r="C13" s="467" t="str">
        <f t="shared" ref="C13:C14" si="3">"« "&amp;C24&amp;" » "</f>
        <v xml:space="preserve">« 0 » </v>
      </c>
      <c r="D13" s="468">
        <f t="shared" ref="D13:H16" si="4">IF(ISERROR(D24/D$4),0,(D24/D$4))*1000</f>
        <v>0</v>
      </c>
      <c r="E13" s="468">
        <f t="shared" si="4"/>
        <v>0</v>
      </c>
      <c r="F13" s="468">
        <f t="shared" si="4"/>
        <v>0</v>
      </c>
      <c r="G13" s="468">
        <f t="shared" si="4"/>
        <v>0</v>
      </c>
      <c r="H13" s="468">
        <f t="shared" si="4"/>
        <v>0</v>
      </c>
      <c r="I13" s="468"/>
      <c r="J13" s="469" t="str">
        <f>C13</f>
        <v xml:space="preserve">« 0 » </v>
      </c>
      <c r="K13" s="362"/>
      <c r="L13" s="98"/>
      <c r="M13" s="365"/>
      <c r="N13" s="388" t="str">
        <f t="shared" ref="N13:N14" si="5">""""&amp;N24&amp;""""</f>
        <v>"0"</v>
      </c>
      <c r="O13" s="467" t="str">
        <f t="shared" ref="O13:O14" si="6">"« "&amp;O24&amp;" » "</f>
        <v xml:space="preserve">« 0 » </v>
      </c>
      <c r="P13" s="468">
        <f t="shared" ref="P13:T16" si="7">IF(ISERROR(P24/P$4),0,(P24/P$4))*1000</f>
        <v>0</v>
      </c>
      <c r="Q13" s="468">
        <f t="shared" si="7"/>
        <v>0</v>
      </c>
      <c r="R13" s="468">
        <f t="shared" si="7"/>
        <v>0</v>
      </c>
      <c r="S13" s="468">
        <f t="shared" si="7"/>
        <v>0</v>
      </c>
      <c r="T13" s="468">
        <f t="shared" si="7"/>
        <v>0</v>
      </c>
      <c r="U13" s="468"/>
      <c r="V13" s="470" t="str">
        <f>O13</f>
        <v xml:space="preserve">« 0 » </v>
      </c>
      <c r="W13" s="362"/>
    </row>
    <row r="14" spans="1:23" x14ac:dyDescent="0.35">
      <c r="A14" s="365"/>
      <c r="B14" s="388" t="str">
        <f t="shared" si="2"/>
        <v>"0"</v>
      </c>
      <c r="C14" s="467" t="str">
        <f t="shared" si="3"/>
        <v xml:space="preserve">« 0 » </v>
      </c>
      <c r="D14" s="468">
        <f t="shared" si="4"/>
        <v>0</v>
      </c>
      <c r="E14" s="468">
        <f t="shared" si="4"/>
        <v>0</v>
      </c>
      <c r="F14" s="468">
        <f t="shared" si="4"/>
        <v>0</v>
      </c>
      <c r="G14" s="468">
        <f t="shared" si="4"/>
        <v>0</v>
      </c>
      <c r="H14" s="468">
        <f t="shared" si="4"/>
        <v>0</v>
      </c>
      <c r="I14" s="468"/>
      <c r="J14" s="469" t="str">
        <f>C14</f>
        <v xml:space="preserve">« 0 » </v>
      </c>
      <c r="K14" s="362"/>
      <c r="L14" s="98"/>
      <c r="M14" s="365"/>
      <c r="N14" s="388" t="str">
        <f t="shared" si="5"/>
        <v>"0"</v>
      </c>
      <c r="O14" s="467" t="str">
        <f t="shared" si="6"/>
        <v xml:space="preserve">« 0 » </v>
      </c>
      <c r="P14" s="468">
        <f t="shared" si="7"/>
        <v>0</v>
      </c>
      <c r="Q14" s="468">
        <f t="shared" si="7"/>
        <v>0</v>
      </c>
      <c r="R14" s="468">
        <f t="shared" si="7"/>
        <v>0</v>
      </c>
      <c r="S14" s="468">
        <f t="shared" si="7"/>
        <v>0</v>
      </c>
      <c r="T14" s="468">
        <f t="shared" si="7"/>
        <v>0</v>
      </c>
      <c r="U14" s="468"/>
      <c r="V14" s="470" t="str">
        <f>O14</f>
        <v xml:space="preserve">« 0 » </v>
      </c>
      <c r="W14" s="362"/>
    </row>
    <row r="15" spans="1:23" x14ac:dyDescent="0.35">
      <c r="A15" s="365"/>
      <c r="B15" s="388" t="str">
        <f t="shared" ref="B15:C15" si="8">B26</f>
        <v>All other direct materials used</v>
      </c>
      <c r="C15" s="467" t="str">
        <f t="shared" si="8"/>
        <v>Toutes les autres matières directes utilisées</v>
      </c>
      <c r="D15" s="468">
        <f t="shared" si="4"/>
        <v>0</v>
      </c>
      <c r="E15" s="468">
        <f t="shared" si="4"/>
        <v>0</v>
      </c>
      <c r="F15" s="468">
        <f t="shared" si="4"/>
        <v>0</v>
      </c>
      <c r="G15" s="468">
        <f t="shared" si="4"/>
        <v>0</v>
      </c>
      <c r="H15" s="468">
        <f t="shared" si="4"/>
        <v>0</v>
      </c>
      <c r="I15" s="468"/>
      <c r="J15" s="471" t="str">
        <f>C15</f>
        <v>Toutes les autres matières directes utilisées</v>
      </c>
      <c r="K15" s="362"/>
      <c r="L15" s="98"/>
      <c r="M15" s="365"/>
      <c r="N15" s="472" t="str">
        <f>B15</f>
        <v>All other direct materials used</v>
      </c>
      <c r="O15" s="467" t="str">
        <f t="shared" ref="O15" si="9">O26</f>
        <v>Toutes les autres matières directes utilisées</v>
      </c>
      <c r="P15" s="468">
        <f t="shared" si="7"/>
        <v>0</v>
      </c>
      <c r="Q15" s="468">
        <f t="shared" si="7"/>
        <v>0</v>
      </c>
      <c r="R15" s="468">
        <f t="shared" si="7"/>
        <v>0</v>
      </c>
      <c r="S15" s="468">
        <f t="shared" si="7"/>
        <v>0</v>
      </c>
      <c r="T15" s="468">
        <f t="shared" si="7"/>
        <v>0</v>
      </c>
      <c r="U15" s="468"/>
      <c r="V15" s="470" t="str">
        <f>O15</f>
        <v>Toutes les autres matières directes utilisées</v>
      </c>
      <c r="W15" s="362"/>
    </row>
    <row r="16" spans="1:23" x14ac:dyDescent="0.35">
      <c r="A16" s="383"/>
      <c r="B16" s="360" t="s">
        <v>955</v>
      </c>
      <c r="C16" s="473" t="str">
        <f>B16</f>
        <v>TOTAL</v>
      </c>
      <c r="D16" s="474">
        <f t="shared" si="4"/>
        <v>0</v>
      </c>
      <c r="E16" s="474">
        <f t="shared" si="4"/>
        <v>0</v>
      </c>
      <c r="F16" s="474">
        <f t="shared" si="4"/>
        <v>0</v>
      </c>
      <c r="G16" s="474">
        <f t="shared" si="4"/>
        <v>0</v>
      </c>
      <c r="H16" s="474">
        <f t="shared" si="4"/>
        <v>0</v>
      </c>
      <c r="I16" s="475"/>
      <c r="J16" s="476" t="str">
        <f>C16</f>
        <v>TOTAL</v>
      </c>
      <c r="K16" s="393"/>
      <c r="L16" s="394"/>
      <c r="M16" s="383"/>
      <c r="N16" s="360" t="str">
        <f>B16</f>
        <v>TOTAL</v>
      </c>
      <c r="O16" s="473" t="str">
        <f>C16</f>
        <v>TOTAL</v>
      </c>
      <c r="P16" s="474">
        <f t="shared" si="7"/>
        <v>0</v>
      </c>
      <c r="Q16" s="474">
        <f t="shared" si="7"/>
        <v>0</v>
      </c>
      <c r="R16" s="474">
        <f t="shared" si="7"/>
        <v>0</v>
      </c>
      <c r="S16" s="474">
        <f t="shared" si="7"/>
        <v>0</v>
      </c>
      <c r="T16" s="474">
        <f t="shared" si="7"/>
        <v>0</v>
      </c>
      <c r="U16" s="475"/>
      <c r="V16" s="476" t="str">
        <f>O16</f>
        <v>TOTAL</v>
      </c>
      <c r="W16" s="393"/>
    </row>
    <row r="17" spans="1:23" x14ac:dyDescent="0.35">
      <c r="A17" s="365"/>
      <c r="B17" s="361"/>
      <c r="C17" s="361"/>
      <c r="D17" s="361"/>
      <c r="E17" s="361"/>
      <c r="F17" s="361"/>
      <c r="G17" s="361"/>
      <c r="H17" s="361"/>
      <c r="I17" s="361"/>
      <c r="J17" s="397"/>
      <c r="K17" s="362"/>
      <c r="L17" s="98"/>
      <c r="M17" s="365"/>
      <c r="N17" s="361"/>
      <c r="O17" s="361"/>
      <c r="P17" s="361"/>
      <c r="Q17" s="361"/>
      <c r="R17" s="361"/>
      <c r="S17" s="361"/>
      <c r="T17" s="361"/>
      <c r="U17" s="361"/>
      <c r="V17" s="397"/>
      <c r="W17" s="362"/>
    </row>
    <row r="18" spans="1:23" x14ac:dyDescent="0.35">
      <c r="A18" s="365"/>
      <c r="B18" s="477" t="s">
        <v>927</v>
      </c>
      <c r="C18" s="442"/>
      <c r="D18" s="361"/>
      <c r="E18" s="361"/>
      <c r="F18" s="361"/>
      <c r="G18" s="361"/>
      <c r="H18" s="361"/>
      <c r="I18" s="361"/>
      <c r="J18" s="361"/>
      <c r="K18" s="362"/>
      <c r="L18" s="98"/>
      <c r="M18" s="365"/>
      <c r="N18" s="477" t="str">
        <f>B18</f>
        <v>Source: Reply to CITT questionnaire.  |  Réponse au questionnaire du TCCE.</v>
      </c>
      <c r="O18" s="442"/>
      <c r="P18" s="361"/>
      <c r="Q18" s="361"/>
      <c r="R18" s="361"/>
      <c r="S18" s="361"/>
      <c r="T18" s="361"/>
      <c r="U18" s="361"/>
      <c r="V18" s="361"/>
      <c r="W18" s="362"/>
    </row>
    <row r="19" spans="1:23" ht="15" thickBot="1" x14ac:dyDescent="0.4">
      <c r="A19" s="401"/>
      <c r="B19" s="402"/>
      <c r="C19" s="402"/>
      <c r="D19" s="402"/>
      <c r="E19" s="402"/>
      <c r="F19" s="402"/>
      <c r="G19" s="402"/>
      <c r="H19" s="402"/>
      <c r="I19" s="402"/>
      <c r="J19" s="402"/>
      <c r="K19" s="403"/>
      <c r="L19" s="98"/>
      <c r="M19" s="401"/>
      <c r="N19" s="402"/>
      <c r="O19" s="402"/>
      <c r="P19" s="402"/>
      <c r="Q19" s="402"/>
      <c r="R19" s="402"/>
      <c r="S19" s="402"/>
      <c r="T19" s="402"/>
      <c r="U19" s="402"/>
      <c r="V19" s="402"/>
      <c r="W19" s="403"/>
    </row>
    <row r="20" spans="1:23" x14ac:dyDescent="0.35">
      <c r="A20" s="98"/>
      <c r="B20" s="98"/>
      <c r="C20" s="98"/>
      <c r="D20" s="98"/>
      <c r="E20" s="98"/>
      <c r="F20" s="98"/>
      <c r="G20" s="98"/>
      <c r="H20" s="98"/>
      <c r="I20" s="98"/>
      <c r="J20" s="98"/>
      <c r="K20" s="98"/>
      <c r="L20" s="98"/>
      <c r="M20" s="98"/>
      <c r="N20" s="98"/>
      <c r="O20" s="98"/>
      <c r="P20" s="98"/>
      <c r="Q20" s="98"/>
      <c r="R20" s="98"/>
      <c r="S20" s="98"/>
      <c r="T20" s="98"/>
      <c r="U20" s="98"/>
      <c r="V20" s="98"/>
      <c r="W20" s="98"/>
    </row>
    <row r="21" spans="1:23" x14ac:dyDescent="0.35">
      <c r="A21" s="98"/>
      <c r="B21" s="98"/>
      <c r="C21" s="98"/>
      <c r="D21" s="98"/>
      <c r="E21" s="98"/>
      <c r="F21" s="98"/>
      <c r="G21" s="98"/>
      <c r="H21" s="98"/>
      <c r="I21" s="98"/>
      <c r="J21" s="98"/>
      <c r="K21" s="98"/>
      <c r="L21" s="98"/>
      <c r="M21" s="98"/>
      <c r="N21" s="98"/>
      <c r="O21" s="98"/>
      <c r="P21" s="98"/>
      <c r="Q21" s="98"/>
      <c r="R21" s="98"/>
      <c r="S21" s="98"/>
      <c r="T21" s="98"/>
      <c r="U21" s="98"/>
      <c r="V21" s="98"/>
      <c r="W21" s="98"/>
    </row>
    <row r="22" spans="1:23" x14ac:dyDescent="0.35">
      <c r="A22" s="98"/>
      <c r="B22" s="98"/>
      <c r="C22" s="98"/>
      <c r="D22" s="98"/>
      <c r="E22" s="98"/>
      <c r="F22" s="98"/>
      <c r="G22" s="98"/>
      <c r="H22" s="98"/>
      <c r="I22" s="98"/>
      <c r="J22" s="98"/>
      <c r="K22" s="98"/>
      <c r="L22" s="98"/>
      <c r="M22" s="98"/>
      <c r="N22" s="98"/>
      <c r="O22" s="98"/>
      <c r="P22" s="98"/>
      <c r="Q22" s="98"/>
      <c r="R22" s="98"/>
      <c r="S22" s="98"/>
      <c r="T22" s="98"/>
      <c r="U22" s="98"/>
      <c r="V22" s="98"/>
      <c r="W22" s="98"/>
    </row>
    <row r="23" spans="1:23" x14ac:dyDescent="0.35">
      <c r="A23" s="98"/>
      <c r="B23" s="478">
        <f>Public!D172</f>
        <v>0</v>
      </c>
      <c r="C23" s="98">
        <f>B23</f>
        <v>0</v>
      </c>
      <c r="D23" s="479">
        <f>'Pro 3'!G25/1000</f>
        <v>0</v>
      </c>
      <c r="E23" s="480">
        <f>'Pro 3'!H25/1000</f>
        <v>0</v>
      </c>
      <c r="F23" s="480">
        <f>'Pro 3'!I25/1000</f>
        <v>0</v>
      </c>
      <c r="G23" s="480">
        <f>'Pro 3'!J25/1000</f>
        <v>0</v>
      </c>
      <c r="H23" s="481">
        <f>'Pro 3'!K25/1000</f>
        <v>0</v>
      </c>
      <c r="I23" s="482"/>
      <c r="J23" s="482"/>
      <c r="K23" s="98"/>
      <c r="L23" s="98"/>
      <c r="M23" s="98"/>
      <c r="N23" s="478">
        <f>B23</f>
        <v>0</v>
      </c>
      <c r="O23" s="98">
        <f>N23</f>
        <v>0</v>
      </c>
      <c r="P23" s="479">
        <f>'Pro 3'!G50/1000</f>
        <v>0</v>
      </c>
      <c r="Q23" s="480">
        <f>'Pro 3'!H50/1000</f>
        <v>0</v>
      </c>
      <c r="R23" s="480">
        <f>'Pro 3'!I50/1000</f>
        <v>0</v>
      </c>
      <c r="S23" s="480">
        <f>'Pro 3'!J50/1000</f>
        <v>0</v>
      </c>
      <c r="T23" s="481">
        <f>'Pro 3'!K50/1000</f>
        <v>0</v>
      </c>
      <c r="U23" s="482"/>
      <c r="V23" s="482"/>
      <c r="W23" s="98"/>
    </row>
    <row r="24" spans="1:23" x14ac:dyDescent="0.35">
      <c r="A24" s="98"/>
      <c r="B24" s="478">
        <f>Public!D173</f>
        <v>0</v>
      </c>
      <c r="C24" s="98">
        <f>B24</f>
        <v>0</v>
      </c>
      <c r="D24" s="483">
        <f>'Pro 3'!G26/1000</f>
        <v>0</v>
      </c>
      <c r="E24" s="484">
        <f>'Pro 3'!H26/1000</f>
        <v>0</v>
      </c>
      <c r="F24" s="484">
        <f>'Pro 3'!I26/1000</f>
        <v>0</v>
      </c>
      <c r="G24" s="484">
        <f>'Pro 3'!J26/1000</f>
        <v>0</v>
      </c>
      <c r="H24" s="485">
        <f>'Pro 3'!K26/1000</f>
        <v>0</v>
      </c>
      <c r="I24" s="482"/>
      <c r="J24" s="482"/>
      <c r="K24" s="98"/>
      <c r="L24" s="98"/>
      <c r="M24" s="98"/>
      <c r="N24" s="478">
        <f>B24</f>
        <v>0</v>
      </c>
      <c r="O24" s="98">
        <f>N24</f>
        <v>0</v>
      </c>
      <c r="P24" s="483">
        <f>'Pro 3'!G51/1000</f>
        <v>0</v>
      </c>
      <c r="Q24" s="484">
        <f>'Pro 3'!H51/1000</f>
        <v>0</v>
      </c>
      <c r="R24" s="484">
        <f>'Pro 3'!I51/1000</f>
        <v>0</v>
      </c>
      <c r="S24" s="484">
        <f>'Pro 3'!J51/1000</f>
        <v>0</v>
      </c>
      <c r="T24" s="485">
        <f>'Pro 3'!K51/1000</f>
        <v>0</v>
      </c>
      <c r="U24" s="482"/>
      <c r="V24" s="482"/>
      <c r="W24" s="98"/>
    </row>
    <row r="25" spans="1:23" x14ac:dyDescent="0.35">
      <c r="A25" s="98"/>
      <c r="B25" s="478">
        <f>Public!D174</f>
        <v>0</v>
      </c>
      <c r="C25" s="98">
        <f>B25</f>
        <v>0</v>
      </c>
      <c r="D25" s="483">
        <f>'Pro 3'!G27/1000</f>
        <v>0</v>
      </c>
      <c r="E25" s="484">
        <f>'Pro 3'!H27/1000</f>
        <v>0</v>
      </c>
      <c r="F25" s="484">
        <f>'Pro 3'!I27/1000</f>
        <v>0</v>
      </c>
      <c r="G25" s="484">
        <f>'Pro 3'!J27/1000</f>
        <v>0</v>
      </c>
      <c r="H25" s="485">
        <f>'Pro 3'!K27/1000</f>
        <v>0</v>
      </c>
      <c r="I25" s="482"/>
      <c r="J25" s="482"/>
      <c r="K25" s="98"/>
      <c r="L25" s="98"/>
      <c r="M25" s="98"/>
      <c r="N25" s="478">
        <f>B25</f>
        <v>0</v>
      </c>
      <c r="O25" s="98">
        <f>N25</f>
        <v>0</v>
      </c>
      <c r="P25" s="483">
        <f>'Pro 3'!G52/1000</f>
        <v>0</v>
      </c>
      <c r="Q25" s="484">
        <f>'Pro 3'!H52/1000</f>
        <v>0</v>
      </c>
      <c r="R25" s="484">
        <f>'Pro 3'!I52/1000</f>
        <v>0</v>
      </c>
      <c r="S25" s="484">
        <f>'Pro 3'!J52/1000</f>
        <v>0</v>
      </c>
      <c r="T25" s="485">
        <f>'Pro 3'!K52/1000</f>
        <v>0</v>
      </c>
      <c r="U25" s="482"/>
      <c r="V25" s="482"/>
      <c r="W25" s="98"/>
    </row>
    <row r="26" spans="1:23" ht="15" customHeight="1" x14ac:dyDescent="0.35">
      <c r="A26" s="98"/>
      <c r="B26" s="486" t="s">
        <v>956</v>
      </c>
      <c r="C26" s="486" t="s">
        <v>60</v>
      </c>
      <c r="D26" s="487">
        <f>'Pro 3'!G28/1000</f>
        <v>0</v>
      </c>
      <c r="E26" s="488">
        <f>'Pro 3'!H28/1000</f>
        <v>0</v>
      </c>
      <c r="F26" s="488">
        <f>'Pro 3'!I28/1000</f>
        <v>0</v>
      </c>
      <c r="G26" s="488">
        <f>'Pro 3'!J28/1000</f>
        <v>0</v>
      </c>
      <c r="H26" s="489">
        <f>'Pro 3'!K28/1000</f>
        <v>0</v>
      </c>
      <c r="I26" s="482"/>
      <c r="J26" s="482"/>
      <c r="K26" s="98"/>
      <c r="L26" s="98"/>
      <c r="M26" s="98"/>
      <c r="N26" s="486" t="s">
        <v>956</v>
      </c>
      <c r="O26" s="98" t="s">
        <v>60</v>
      </c>
      <c r="P26" s="487">
        <f>'Pro 3'!G53/1000</f>
        <v>0</v>
      </c>
      <c r="Q26" s="488">
        <f>'Pro 3'!H53/1000</f>
        <v>0</v>
      </c>
      <c r="R26" s="488">
        <f>'Pro 3'!I53/1000</f>
        <v>0</v>
      </c>
      <c r="S26" s="488">
        <f>'Pro 3'!J53/1000</f>
        <v>0</v>
      </c>
      <c r="T26" s="489">
        <f>'Pro 3'!K53/1000</f>
        <v>0</v>
      </c>
      <c r="U26" s="482"/>
      <c r="V26" s="482"/>
      <c r="W26" s="98"/>
    </row>
    <row r="27" spans="1:23" x14ac:dyDescent="0.35">
      <c r="A27" s="98"/>
      <c r="B27" s="98" t="s">
        <v>955</v>
      </c>
      <c r="C27" s="98"/>
      <c r="D27" s="490">
        <f>SUM(D23:D26)</f>
        <v>0</v>
      </c>
      <c r="E27" s="490">
        <f t="shared" ref="E27:H27" si="10">SUM(E23:E26)</f>
        <v>0</v>
      </c>
      <c r="F27" s="490">
        <f t="shared" si="10"/>
        <v>0</v>
      </c>
      <c r="G27" s="490">
        <f t="shared" si="10"/>
        <v>0</v>
      </c>
      <c r="H27" s="490">
        <f t="shared" si="10"/>
        <v>0</v>
      </c>
      <c r="I27" s="490"/>
      <c r="J27" s="490"/>
      <c r="K27" s="98"/>
      <c r="L27" s="98"/>
      <c r="M27" s="98"/>
      <c r="N27" s="98" t="s">
        <v>955</v>
      </c>
      <c r="O27" s="98"/>
      <c r="P27" s="490">
        <f>SUM(P23:P26)</f>
        <v>0</v>
      </c>
      <c r="Q27" s="490">
        <f t="shared" ref="Q27:T27" si="11">SUM(Q23:Q26)</f>
        <v>0</v>
      </c>
      <c r="R27" s="490">
        <f t="shared" si="11"/>
        <v>0</v>
      </c>
      <c r="S27" s="490">
        <f t="shared" si="11"/>
        <v>0</v>
      </c>
      <c r="T27" s="490">
        <f t="shared" si="11"/>
        <v>0</v>
      </c>
      <c r="U27" s="490"/>
      <c r="V27" s="490"/>
      <c r="W27" s="98"/>
    </row>
  </sheetData>
  <sheetProtection algorithmName="SHA-512" hashValue="UCYASeRVIvrZJTIpcSAUlpiFKA8aML4+dvAHfeIsPaRcQwAI4XEltvkr48JfH0ITsZp2jQp6KnpykgUZ/+AEsg==" saltValue="ZDmltsiqKj6etASOrpF8NQ==" spinCount="100000" sheet="1" objects="1" scenarios="1" selectLockedCells="1"/>
  <mergeCells count="4">
    <mergeCell ref="D8:H8"/>
    <mergeCell ref="P8:T8"/>
    <mergeCell ref="G9:H9"/>
    <mergeCell ref="S9:T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385A-9396-4881-99BB-25542A88153E}">
  <sheetPr>
    <tabColor rgb="FFFF0000"/>
  </sheetPr>
  <dimension ref="A4:M17"/>
  <sheetViews>
    <sheetView workbookViewId="0"/>
  </sheetViews>
  <sheetFormatPr defaultRowHeight="14.5" x14ac:dyDescent="0.35"/>
  <cols>
    <col min="1" max="1" width="3.54296875" customWidth="1"/>
    <col min="2" max="2" width="2.90625" customWidth="1"/>
    <col min="3" max="3" width="39.90625" customWidth="1"/>
    <col min="4" max="9" width="14.36328125" customWidth="1"/>
    <col min="10" max="10" width="2.90625" customWidth="1"/>
    <col min="11" max="13" width="8.90625" customWidth="1"/>
  </cols>
  <sheetData>
    <row r="4" spans="1:13" ht="15" thickBot="1" x14ac:dyDescent="0.4">
      <c r="A4" s="358"/>
      <c r="B4" s="358"/>
      <c r="C4" s="358"/>
      <c r="D4" s="491"/>
      <c r="E4" s="491"/>
      <c r="F4" s="491"/>
      <c r="G4" s="492"/>
      <c r="H4" s="491"/>
      <c r="I4" s="447"/>
      <c r="J4" s="447"/>
      <c r="K4" s="447"/>
      <c r="L4" s="447"/>
      <c r="M4" s="447"/>
    </row>
    <row r="5" spans="1:13" x14ac:dyDescent="0.35">
      <c r="A5" s="363"/>
      <c r="B5" s="354"/>
      <c r="C5" s="356"/>
      <c r="D5" s="493"/>
      <c r="E5" s="493"/>
      <c r="F5" s="493"/>
      <c r="G5" s="493"/>
      <c r="H5" s="493"/>
      <c r="I5" s="493"/>
      <c r="J5" s="357"/>
      <c r="K5" s="451"/>
      <c r="L5" s="451"/>
      <c r="M5" s="451"/>
    </row>
    <row r="6" spans="1:13" ht="78.5" x14ac:dyDescent="0.35">
      <c r="A6" s="42"/>
      <c r="B6" s="383"/>
      <c r="C6" s="366"/>
      <c r="D6" s="494" t="s">
        <v>957</v>
      </c>
      <c r="E6" s="494" t="s">
        <v>958</v>
      </c>
      <c r="F6" s="494" t="s">
        <v>959</v>
      </c>
      <c r="G6" s="494" t="s">
        <v>960</v>
      </c>
      <c r="H6" s="494" t="s">
        <v>961</v>
      </c>
      <c r="I6" s="494" t="s">
        <v>962</v>
      </c>
      <c r="J6" s="362"/>
      <c r="K6" s="495"/>
      <c r="L6" s="495"/>
      <c r="M6" s="495"/>
    </row>
    <row r="7" spans="1:13" x14ac:dyDescent="0.35">
      <c r="A7" s="42"/>
      <c r="B7" s="461"/>
      <c r="C7" s="496"/>
      <c r="D7" s="497"/>
      <c r="E7" s="497"/>
      <c r="F7" s="497"/>
      <c r="G7" s="497"/>
      <c r="H7" s="497"/>
      <c r="I7" s="497"/>
      <c r="J7" s="465"/>
      <c r="K7" s="495"/>
      <c r="L7" s="495"/>
      <c r="M7" s="495"/>
    </row>
    <row r="8" spans="1:13" x14ac:dyDescent="0.35">
      <c r="A8" s="42"/>
      <c r="B8" s="365"/>
      <c r="C8" s="498">
        <f>Intro!E98</f>
        <v>0</v>
      </c>
      <c r="D8" s="499" t="str">
        <f>IF(OR('Pro 4'!$B$22="Yes",'Pro 4'!$B$22="Oui"),"X","")</f>
        <v/>
      </c>
      <c r="E8" s="499" t="str">
        <f>IF(OR('Pro 4'!$B$32="Yes",'Pro 4'!$B$32="Oui"),"X","")</f>
        <v/>
      </c>
      <c r="F8" s="499" t="str">
        <f>IF(OR('Pro 4'!$B$42="Yes",'Pro 4'!$B$42="Oui"),"X","")</f>
        <v/>
      </c>
      <c r="G8" s="499" t="str">
        <f>IF(OR('Pro 4'!$B$52="Yes",'Pro 4'!$B$52="Oui"),"X","")</f>
        <v/>
      </c>
      <c r="H8" s="499" t="str">
        <f>IF(OR('Pro 4'!$B$62="Yes",'Pro 4'!$B$62="Oui"),"X","")</f>
        <v/>
      </c>
      <c r="I8" s="499" t="str">
        <f>IF(OR('Pro 4'!$B$72="Yes",'Pro 4'!$B$72="Oui"),"X","")</f>
        <v/>
      </c>
      <c r="J8" s="362"/>
      <c r="K8" s="495"/>
      <c r="L8" s="495"/>
      <c r="M8" s="495"/>
    </row>
    <row r="9" spans="1:13" x14ac:dyDescent="0.35">
      <c r="B9" s="365"/>
      <c r="C9" s="361"/>
      <c r="D9" s="361"/>
      <c r="E9" s="361"/>
      <c r="F9" s="361"/>
      <c r="G9" s="361"/>
      <c r="H9" s="361"/>
      <c r="I9" s="361"/>
      <c r="J9" s="362"/>
    </row>
    <row r="10" spans="1:13" ht="65.5" x14ac:dyDescent="0.35">
      <c r="B10" s="365"/>
      <c r="C10" s="366"/>
      <c r="D10" s="494" t="s">
        <v>961</v>
      </c>
      <c r="E10" s="494" t="s">
        <v>963</v>
      </c>
      <c r="F10" s="494" t="s">
        <v>964</v>
      </c>
      <c r="G10" s="494" t="s">
        <v>965</v>
      </c>
      <c r="H10" s="494" t="s">
        <v>966</v>
      </c>
      <c r="I10" s="98"/>
      <c r="J10" s="362"/>
    </row>
    <row r="11" spans="1:13" x14ac:dyDescent="0.35">
      <c r="B11" s="365"/>
      <c r="C11" s="496"/>
      <c r="D11" s="497"/>
      <c r="E11" s="497"/>
      <c r="F11" s="497"/>
      <c r="G11" s="497"/>
      <c r="H11" s="497"/>
      <c r="I11" s="497"/>
      <c r="J11" s="362"/>
    </row>
    <row r="12" spans="1:13" x14ac:dyDescent="0.35">
      <c r="B12" s="365"/>
      <c r="C12" s="388">
        <f>C8</f>
        <v>0</v>
      </c>
      <c r="D12" s="499" t="str">
        <f>IF(OR('Pro 4'!$B$82="Yes",'Pro 4'!$B$82="Oui"),"X","")</f>
        <v/>
      </c>
      <c r="E12" s="499" t="str">
        <f>IF(OR('Pro 4'!$B$92="Yes",'Pro 4'!$B$92="Oui"),"X","")</f>
        <v/>
      </c>
      <c r="F12" s="499" t="str">
        <f>IF(OR('Pro 4'!$B$102="Yes",'Pro 4'!$B$102="Oui"),"X","")</f>
        <v/>
      </c>
      <c r="G12" s="499" t="str">
        <f>IF(OR('Pro 4'!$B$112="Yes",'Pro 4'!$B$112="Oui"),"X","")</f>
        <v/>
      </c>
      <c r="H12" s="499" t="str">
        <f>IF(OR('Pro 4'!$B$122="Yes",'Pro 4'!$B$122="Oui"),"X","")</f>
        <v/>
      </c>
      <c r="I12" s="500"/>
      <c r="J12" s="362"/>
    </row>
    <row r="13" spans="1:13" x14ac:dyDescent="0.35">
      <c r="B13" s="365"/>
      <c r="C13" s="501"/>
      <c r="D13" s="361"/>
      <c r="E13" s="361"/>
      <c r="F13" s="361"/>
      <c r="G13" s="361"/>
      <c r="H13" s="361"/>
      <c r="I13" s="361"/>
      <c r="J13" s="362"/>
    </row>
    <row r="14" spans="1:13" hidden="1" x14ac:dyDescent="0.35">
      <c r="B14" s="365"/>
      <c r="C14" s="361" t="s">
        <v>925</v>
      </c>
      <c r="D14" s="361"/>
      <c r="E14" s="361"/>
      <c r="F14" s="361"/>
      <c r="G14" s="361"/>
      <c r="H14" s="361"/>
      <c r="I14" s="361"/>
      <c r="J14" s="362"/>
    </row>
    <row r="15" spans="1:13" hidden="1" x14ac:dyDescent="0.35">
      <c r="B15" s="365"/>
      <c r="C15" s="1000" t="str">
        <f>"1. Responses include | Les réponses comprennent : "&amp;N17</f>
        <v xml:space="preserve">1. Responses include | Les réponses comprennent : </v>
      </c>
      <c r="D15" s="1000"/>
      <c r="E15" s="1000"/>
      <c r="F15" s="1000"/>
      <c r="G15" s="1000"/>
      <c r="H15" s="1000"/>
      <c r="I15" s="1000"/>
      <c r="J15" s="362"/>
    </row>
    <row r="16" spans="1:13" x14ac:dyDescent="0.35">
      <c r="B16" s="383"/>
      <c r="C16" s="1001" t="s">
        <v>967</v>
      </c>
      <c r="D16" s="1001"/>
      <c r="E16" s="1001"/>
      <c r="F16" s="1001"/>
      <c r="G16" s="1001"/>
      <c r="H16" s="1001"/>
      <c r="I16" s="1001"/>
      <c r="J16" s="362"/>
    </row>
    <row r="17" spans="2:10" ht="15" thickBot="1" x14ac:dyDescent="0.4">
      <c r="B17" s="401"/>
      <c r="C17" s="402"/>
      <c r="D17" s="402"/>
      <c r="E17" s="402"/>
      <c r="F17" s="402"/>
      <c r="G17" s="402"/>
      <c r="H17" s="402"/>
      <c r="I17" s="402"/>
      <c r="J17" s="403"/>
    </row>
  </sheetData>
  <sheetProtection algorithmName="SHA-512" hashValue="g+PQPW/mb70opHoYZGYUMogWnSRUgujei4x9hwj4GxqEelPi9x9HDLwxwRjU/xptdPWOJwIg4LVf8H3fKIJcRg==" saltValue="ejVtWbnwViedQv3MrgooGw==" spinCount="100000" sheet="1" objects="1" scenarios="1" selectLockedCells="1"/>
  <mergeCells count="2">
    <mergeCell ref="C15:I15"/>
    <mergeCell ref="C16:I1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7F090-4F72-4B08-A999-26C2D296D319}">
  <sheetPr>
    <tabColor rgb="FFFF0000"/>
  </sheetPr>
  <dimension ref="A2:AN9"/>
  <sheetViews>
    <sheetView workbookViewId="0"/>
  </sheetViews>
  <sheetFormatPr defaultRowHeight="14.5" x14ac:dyDescent="0.35"/>
  <cols>
    <col min="1" max="1" width="21.36328125" bestFit="1" customWidth="1"/>
    <col min="2" max="2" width="21.54296875" hidden="1" customWidth="1"/>
    <col min="3" max="3" width="12" customWidth="1"/>
    <col min="4" max="4" width="13.08984375" customWidth="1"/>
    <col min="5" max="5" width="5.6328125" hidden="1" customWidth="1"/>
    <col min="6" max="6" width="10.6328125" hidden="1" customWidth="1"/>
    <col min="7" max="7" width="5.453125" hidden="1" customWidth="1"/>
    <col min="8" max="8" width="33" customWidth="1"/>
    <col min="9" max="9" width="12.54296875" customWidth="1"/>
    <col min="10" max="10" width="16.08984375" customWidth="1"/>
    <col min="11" max="11" width="25.6328125" bestFit="1" customWidth="1"/>
    <col min="12" max="12" width="7.54296875" customWidth="1"/>
    <col min="13" max="13" width="23.453125" bestFit="1" customWidth="1"/>
    <col min="14" max="14" width="20.6328125" customWidth="1"/>
    <col min="15" max="15" width="41.6328125" bestFit="1" customWidth="1"/>
    <col min="16" max="16" width="12.6328125" customWidth="1"/>
    <col min="17" max="32" width="18.453125" customWidth="1"/>
    <col min="33" max="40" width="17.54296875" customWidth="1"/>
  </cols>
  <sheetData>
    <row r="2" spans="1:40" ht="15" thickBot="1" x14ac:dyDescent="0.4"/>
    <row r="3" spans="1:40" ht="24.5" x14ac:dyDescent="0.35">
      <c r="A3" s="530" t="s">
        <v>474</v>
      </c>
      <c r="B3" s="531" t="s">
        <v>988</v>
      </c>
      <c r="C3" s="531" t="s">
        <v>475</v>
      </c>
      <c r="D3" s="531" t="s">
        <v>476</v>
      </c>
      <c r="E3" s="532" t="s">
        <v>970</v>
      </c>
      <c r="F3" s="532" t="s">
        <v>869</v>
      </c>
      <c r="G3" s="532" t="s">
        <v>870</v>
      </c>
      <c r="H3" s="531" t="s">
        <v>478</v>
      </c>
      <c r="I3" s="531" t="s">
        <v>479</v>
      </c>
      <c r="J3" s="300" t="s">
        <v>871</v>
      </c>
      <c r="K3" s="531" t="s">
        <v>480</v>
      </c>
      <c r="L3" s="531" t="s">
        <v>872</v>
      </c>
      <c r="M3" s="531" t="s">
        <v>537</v>
      </c>
      <c r="N3" s="531" t="s">
        <v>989</v>
      </c>
      <c r="O3" s="531" t="s">
        <v>990</v>
      </c>
      <c r="P3" s="531" t="s">
        <v>482</v>
      </c>
      <c r="Q3" s="533" t="s">
        <v>991</v>
      </c>
      <c r="R3" s="533" t="s">
        <v>992</v>
      </c>
      <c r="S3" s="533" t="s">
        <v>993</v>
      </c>
      <c r="T3" s="533" t="s">
        <v>994</v>
      </c>
      <c r="U3" s="533" t="s">
        <v>1015</v>
      </c>
      <c r="V3" s="533" t="s">
        <v>1016</v>
      </c>
      <c r="W3" s="533" t="s">
        <v>1017</v>
      </c>
      <c r="X3" s="534" t="s">
        <v>1018</v>
      </c>
      <c r="Y3" s="533" t="s">
        <v>995</v>
      </c>
      <c r="Z3" s="533" t="s">
        <v>996</v>
      </c>
      <c r="AA3" s="533" t="s">
        <v>997</v>
      </c>
      <c r="AB3" s="533" t="s">
        <v>998</v>
      </c>
      <c r="AC3" s="533" t="s">
        <v>1019</v>
      </c>
      <c r="AD3" s="533" t="s">
        <v>1020</v>
      </c>
      <c r="AE3" s="533" t="s">
        <v>1021</v>
      </c>
      <c r="AF3" s="533" t="s">
        <v>1022</v>
      </c>
      <c r="AG3" s="533" t="s">
        <v>999</v>
      </c>
      <c r="AH3" s="533" t="s">
        <v>1000</v>
      </c>
      <c r="AI3" s="533" t="s">
        <v>1001</v>
      </c>
      <c r="AJ3" s="533" t="s">
        <v>1002</v>
      </c>
      <c r="AK3" s="533" t="s">
        <v>1023</v>
      </c>
      <c r="AL3" s="533" t="s">
        <v>1024</v>
      </c>
      <c r="AM3" s="533" t="s">
        <v>1025</v>
      </c>
      <c r="AN3" s="534" t="s">
        <v>1026</v>
      </c>
    </row>
    <row r="4" spans="1:40" x14ac:dyDescent="0.35">
      <c r="A4" s="535">
        <f>Intro!E98</f>
        <v>0</v>
      </c>
      <c r="B4" s="511"/>
      <c r="C4" s="511" t="s">
        <v>490</v>
      </c>
      <c r="D4" s="511" t="s">
        <v>492</v>
      </c>
      <c r="E4" s="512"/>
      <c r="F4" s="512"/>
      <c r="G4" s="512"/>
      <c r="H4" s="511" t="s">
        <v>515</v>
      </c>
      <c r="I4" s="511" t="s">
        <v>492</v>
      </c>
      <c r="J4" s="511" t="s">
        <v>492</v>
      </c>
      <c r="K4" s="511" t="s">
        <v>492</v>
      </c>
      <c r="L4" s="511" t="s">
        <v>491</v>
      </c>
      <c r="M4" s="511" t="s">
        <v>492</v>
      </c>
      <c r="N4" s="511" t="s">
        <v>1011</v>
      </c>
      <c r="O4" s="511" t="s">
        <v>1003</v>
      </c>
      <c r="P4" s="513" t="s">
        <v>494</v>
      </c>
      <c r="Q4" s="514">
        <f>'Pro 2'!E275</f>
        <v>0</v>
      </c>
      <c r="R4" s="514">
        <f>'Pro 2'!F275</f>
        <v>0</v>
      </c>
      <c r="S4" s="514">
        <f>'Pro 2'!G275</f>
        <v>0</v>
      </c>
      <c r="T4" s="514">
        <f>'Pro 2'!H275</f>
        <v>0</v>
      </c>
      <c r="U4" s="514">
        <f>'Pro 2'!I275</f>
        <v>0</v>
      </c>
      <c r="V4" s="514">
        <f>'Pro 2'!J275</f>
        <v>0</v>
      </c>
      <c r="W4" s="514">
        <f>'Pro 2'!K275</f>
        <v>0</v>
      </c>
      <c r="X4" s="515">
        <f>'Pro 2'!L275</f>
        <v>0</v>
      </c>
      <c r="Y4" s="514">
        <f>'Pro 2'!E276/1000</f>
        <v>0</v>
      </c>
      <c r="Z4" s="514">
        <f>'Pro 2'!F276/1000</f>
        <v>0</v>
      </c>
      <c r="AA4" s="514">
        <f>'Pro 2'!G276/1000</f>
        <v>0</v>
      </c>
      <c r="AB4" s="514">
        <f>'Pro 2'!H276/1000</f>
        <v>0</v>
      </c>
      <c r="AC4" s="514">
        <f>'Pro 2'!I276/1000</f>
        <v>0</v>
      </c>
      <c r="AD4" s="514">
        <f>'Pro 2'!J276/1000</f>
        <v>0</v>
      </c>
      <c r="AE4" s="514">
        <f>'Pro 2'!K276/1000</f>
        <v>0</v>
      </c>
      <c r="AF4" s="515">
        <f>'Pro 2'!L276/1000</f>
        <v>0</v>
      </c>
      <c r="AG4" s="516">
        <f>IF(ISERROR(Y4/Q4),0,Y4/Q4)*1000</f>
        <v>0</v>
      </c>
      <c r="AH4" s="516">
        <f t="shared" ref="AG4:AN9" si="0">IF(ISERROR(Z4/R4),0,Z4/R4)*1000</f>
        <v>0</v>
      </c>
      <c r="AI4" s="516">
        <f t="shared" si="0"/>
        <v>0</v>
      </c>
      <c r="AJ4" s="516">
        <f t="shared" si="0"/>
        <v>0</v>
      </c>
      <c r="AK4" s="516">
        <f t="shared" si="0"/>
        <v>0</v>
      </c>
      <c r="AL4" s="516">
        <f t="shared" si="0"/>
        <v>0</v>
      </c>
      <c r="AM4" s="516">
        <f t="shared" si="0"/>
        <v>0</v>
      </c>
      <c r="AN4" s="517">
        <f t="shared" si="0"/>
        <v>0</v>
      </c>
    </row>
    <row r="5" spans="1:40" x14ac:dyDescent="0.35">
      <c r="A5" s="536">
        <f>A4</f>
        <v>0</v>
      </c>
      <c r="B5" s="518"/>
      <c r="C5" s="518" t="str">
        <f t="shared" ref="C5:D7" si="1">C4</f>
        <v>1 - Producer</v>
      </c>
      <c r="D5" s="518" t="str">
        <f t="shared" si="1"/>
        <v>DOM</v>
      </c>
      <c r="E5" s="519"/>
      <c r="F5" s="519"/>
      <c r="G5" s="519"/>
      <c r="H5" s="518" t="str">
        <f t="shared" ref="H5:H9" si="2">H4</f>
        <v>A - DOM</v>
      </c>
      <c r="I5" s="518" t="s">
        <v>492</v>
      </c>
      <c r="J5" s="518" t="s">
        <v>492</v>
      </c>
      <c r="K5" s="518" t="s">
        <v>492</v>
      </c>
      <c r="L5" s="518" t="s">
        <v>491</v>
      </c>
      <c r="M5" s="518" t="s">
        <v>492</v>
      </c>
      <c r="N5" s="518" t="s">
        <v>1009</v>
      </c>
      <c r="O5" s="518" t="s">
        <v>1004</v>
      </c>
      <c r="P5" s="520" t="str">
        <f>P4</f>
        <v>Dom-Sls</v>
      </c>
      <c r="Q5" s="521">
        <f>'Pro 2'!E279</f>
        <v>0</v>
      </c>
      <c r="R5" s="521">
        <f>'Pro 2'!F279</f>
        <v>0</v>
      </c>
      <c r="S5" s="521">
        <f>'Pro 2'!G279</f>
        <v>0</v>
      </c>
      <c r="T5" s="521">
        <f>'Pro 2'!H279</f>
        <v>0</v>
      </c>
      <c r="U5" s="521">
        <f>'Pro 2'!I279</f>
        <v>0</v>
      </c>
      <c r="V5" s="521">
        <f>'Pro 2'!J279</f>
        <v>0</v>
      </c>
      <c r="W5" s="521">
        <f>'Pro 2'!K279</f>
        <v>0</v>
      </c>
      <c r="X5" s="522">
        <f>'Pro 2'!L279</f>
        <v>0</v>
      </c>
      <c r="Y5" s="521">
        <f>'Pro 2'!E280/1000</f>
        <v>0</v>
      </c>
      <c r="Z5" s="521">
        <f>'Pro 2'!F280/1000</f>
        <v>0</v>
      </c>
      <c r="AA5" s="521">
        <f>'Pro 2'!G280/1000</f>
        <v>0</v>
      </c>
      <c r="AB5" s="521">
        <f>'Pro 2'!H280/1000</f>
        <v>0</v>
      </c>
      <c r="AC5" s="521">
        <f>'Pro 2'!I280/1000</f>
        <v>0</v>
      </c>
      <c r="AD5" s="521">
        <f>'Pro 2'!J280/1000</f>
        <v>0</v>
      </c>
      <c r="AE5" s="521">
        <f>'Pro 2'!K280/1000</f>
        <v>0</v>
      </c>
      <c r="AF5" s="522">
        <f>'Pro 2'!L280/1000</f>
        <v>0</v>
      </c>
      <c r="AG5" s="523">
        <f t="shared" si="0"/>
        <v>0</v>
      </c>
      <c r="AH5" s="523">
        <f t="shared" si="0"/>
        <v>0</v>
      </c>
      <c r="AI5" s="523">
        <f t="shared" si="0"/>
        <v>0</v>
      </c>
      <c r="AJ5" s="523">
        <f t="shared" si="0"/>
        <v>0</v>
      </c>
      <c r="AK5" s="523">
        <f t="shared" si="0"/>
        <v>0</v>
      </c>
      <c r="AL5" s="523">
        <f t="shared" si="0"/>
        <v>0</v>
      </c>
      <c r="AM5" s="523">
        <f t="shared" si="0"/>
        <v>0</v>
      </c>
      <c r="AN5" s="524">
        <f t="shared" si="0"/>
        <v>0</v>
      </c>
    </row>
    <row r="6" spans="1:40" x14ac:dyDescent="0.35">
      <c r="A6" s="537">
        <f>A5</f>
        <v>0</v>
      </c>
      <c r="B6" s="525"/>
      <c r="C6" s="525" t="str">
        <f t="shared" si="1"/>
        <v>1 - Producer</v>
      </c>
      <c r="D6" s="525" t="str">
        <f t="shared" si="1"/>
        <v>DOM</v>
      </c>
      <c r="E6" s="526"/>
      <c r="F6" s="526"/>
      <c r="G6" s="526"/>
      <c r="H6" s="525" t="str">
        <f t="shared" si="2"/>
        <v>A - DOM</v>
      </c>
      <c r="I6" s="525" t="s">
        <v>492</v>
      </c>
      <c r="J6" s="525" t="s">
        <v>492</v>
      </c>
      <c r="K6" s="525" t="s">
        <v>492</v>
      </c>
      <c r="L6" s="525" t="s">
        <v>491</v>
      </c>
      <c r="M6" s="525" t="s">
        <v>492</v>
      </c>
      <c r="N6" s="525" t="s">
        <v>1010</v>
      </c>
      <c r="O6" s="525" t="s">
        <v>1005</v>
      </c>
      <c r="P6" s="527" t="str">
        <f>P5</f>
        <v>Dom-Sls</v>
      </c>
      <c r="Q6" s="521">
        <f>'Pro 2'!E283</f>
        <v>0</v>
      </c>
      <c r="R6" s="521">
        <f>'Pro 2'!F283</f>
        <v>0</v>
      </c>
      <c r="S6" s="521">
        <f>'Pro 2'!G283</f>
        <v>0</v>
      </c>
      <c r="T6" s="521">
        <f>'Pro 2'!H283</f>
        <v>0</v>
      </c>
      <c r="U6" s="521">
        <f>'Pro 2'!I283</f>
        <v>0</v>
      </c>
      <c r="V6" s="521">
        <f>'Pro 2'!J283</f>
        <v>0</v>
      </c>
      <c r="W6" s="521">
        <f>'Pro 2'!K283</f>
        <v>0</v>
      </c>
      <c r="X6" s="522">
        <f>'Pro 2'!L283</f>
        <v>0</v>
      </c>
      <c r="Y6" s="521">
        <f>'Pro 2'!E284/1000</f>
        <v>0</v>
      </c>
      <c r="Z6" s="521">
        <f>'Pro 2'!F284/1000</f>
        <v>0</v>
      </c>
      <c r="AA6" s="521">
        <f>'Pro 2'!G284/1000</f>
        <v>0</v>
      </c>
      <c r="AB6" s="521">
        <f>'Pro 2'!H284/1000</f>
        <v>0</v>
      </c>
      <c r="AC6" s="521">
        <f>'Pro 2'!I284/1000</f>
        <v>0</v>
      </c>
      <c r="AD6" s="521">
        <f>'Pro 2'!J284/1000</f>
        <v>0</v>
      </c>
      <c r="AE6" s="521">
        <f>'Pro 2'!K284/1000</f>
        <v>0</v>
      </c>
      <c r="AF6" s="522">
        <f>'Pro 2'!L284/1000</f>
        <v>0</v>
      </c>
      <c r="AG6" s="528">
        <f t="shared" si="0"/>
        <v>0</v>
      </c>
      <c r="AH6" s="528">
        <f t="shared" si="0"/>
        <v>0</v>
      </c>
      <c r="AI6" s="528">
        <f t="shared" si="0"/>
        <v>0</v>
      </c>
      <c r="AJ6" s="528">
        <f t="shared" si="0"/>
        <v>0</v>
      </c>
      <c r="AK6" s="528">
        <f t="shared" si="0"/>
        <v>0</v>
      </c>
      <c r="AL6" s="528">
        <f t="shared" si="0"/>
        <v>0</v>
      </c>
      <c r="AM6" s="528">
        <f t="shared" si="0"/>
        <v>0</v>
      </c>
      <c r="AN6" s="529">
        <f t="shared" si="0"/>
        <v>0</v>
      </c>
    </row>
    <row r="7" spans="1:40" x14ac:dyDescent="0.35">
      <c r="A7" s="536">
        <f>A6</f>
        <v>0</v>
      </c>
      <c r="B7" s="518"/>
      <c r="C7" s="518" t="str">
        <f t="shared" si="1"/>
        <v>1 - Producer</v>
      </c>
      <c r="D7" s="518" t="str">
        <f t="shared" si="1"/>
        <v>DOM</v>
      </c>
      <c r="E7" s="519"/>
      <c r="F7" s="519"/>
      <c r="G7" s="519"/>
      <c r="H7" s="518" t="str">
        <f t="shared" si="2"/>
        <v>A - DOM</v>
      </c>
      <c r="I7" s="518" t="s">
        <v>492</v>
      </c>
      <c r="J7" s="518" t="s">
        <v>492</v>
      </c>
      <c r="K7" s="518" t="s">
        <v>492</v>
      </c>
      <c r="L7" s="518" t="s">
        <v>491</v>
      </c>
      <c r="M7" s="518" t="s">
        <v>492</v>
      </c>
      <c r="N7" s="518" t="s">
        <v>1012</v>
      </c>
      <c r="O7" s="518" t="s">
        <v>1006</v>
      </c>
      <c r="P7" s="520" t="str">
        <f>P6</f>
        <v>Dom-Sls</v>
      </c>
      <c r="Q7" s="521">
        <f>'Pro 2'!E287</f>
        <v>0</v>
      </c>
      <c r="R7" s="521">
        <f>'Pro 2'!F287</f>
        <v>0</v>
      </c>
      <c r="S7" s="521">
        <f>'Pro 2'!G287</f>
        <v>0</v>
      </c>
      <c r="T7" s="521">
        <f>'Pro 2'!H287</f>
        <v>0</v>
      </c>
      <c r="U7" s="521">
        <f>'Pro 2'!I287</f>
        <v>0</v>
      </c>
      <c r="V7" s="521">
        <f>'Pro 2'!J287</f>
        <v>0</v>
      </c>
      <c r="W7" s="521">
        <f>'Pro 2'!K287</f>
        <v>0</v>
      </c>
      <c r="X7" s="522">
        <f>'Pro 2'!L287</f>
        <v>0</v>
      </c>
      <c r="Y7" s="521">
        <f>'Pro 2'!E288/1000</f>
        <v>0</v>
      </c>
      <c r="Z7" s="521">
        <f>'Pro 2'!F288/1000</f>
        <v>0</v>
      </c>
      <c r="AA7" s="521">
        <f>'Pro 2'!G288/1000</f>
        <v>0</v>
      </c>
      <c r="AB7" s="521">
        <f>'Pro 2'!H288/1000</f>
        <v>0</v>
      </c>
      <c r="AC7" s="521">
        <f>'Pro 2'!I288/1000</f>
        <v>0</v>
      </c>
      <c r="AD7" s="521">
        <f>'Pro 2'!J288/1000</f>
        <v>0</v>
      </c>
      <c r="AE7" s="521">
        <f>'Pro 2'!K288/1000</f>
        <v>0</v>
      </c>
      <c r="AF7" s="522">
        <f>'Pro 2'!L288/1000</f>
        <v>0</v>
      </c>
      <c r="AG7" s="523">
        <f t="shared" si="0"/>
        <v>0</v>
      </c>
      <c r="AH7" s="523">
        <f t="shared" si="0"/>
        <v>0</v>
      </c>
      <c r="AI7" s="523">
        <f t="shared" si="0"/>
        <v>0</v>
      </c>
      <c r="AJ7" s="523">
        <f t="shared" si="0"/>
        <v>0</v>
      </c>
      <c r="AK7" s="523">
        <f t="shared" si="0"/>
        <v>0</v>
      </c>
      <c r="AL7" s="523">
        <f t="shared" si="0"/>
        <v>0</v>
      </c>
      <c r="AM7" s="523">
        <f t="shared" si="0"/>
        <v>0</v>
      </c>
      <c r="AN7" s="524">
        <f t="shared" si="0"/>
        <v>0</v>
      </c>
    </row>
    <row r="8" spans="1:40" x14ac:dyDescent="0.35">
      <c r="A8" s="537">
        <f>A7</f>
        <v>0</v>
      </c>
      <c r="B8" s="525"/>
      <c r="C8" s="525" t="s">
        <v>490</v>
      </c>
      <c r="D8" s="525" t="s">
        <v>492</v>
      </c>
      <c r="E8" s="526"/>
      <c r="F8" s="526"/>
      <c r="G8" s="526"/>
      <c r="H8" s="525" t="str">
        <f t="shared" si="2"/>
        <v>A - DOM</v>
      </c>
      <c r="I8" s="525" t="s">
        <v>492</v>
      </c>
      <c r="J8" s="525" t="s">
        <v>492</v>
      </c>
      <c r="K8" s="525" t="s">
        <v>492</v>
      </c>
      <c r="L8" s="525" t="s">
        <v>491</v>
      </c>
      <c r="M8" s="525" t="s">
        <v>492</v>
      </c>
      <c r="N8" s="525" t="s">
        <v>1013</v>
      </c>
      <c r="O8" s="525" t="s">
        <v>1007</v>
      </c>
      <c r="P8" s="527" t="str">
        <f t="shared" ref="P8" si="3">P7</f>
        <v>Dom-Sls</v>
      </c>
      <c r="Q8" s="521">
        <f>'Pro 2'!E291</f>
        <v>0</v>
      </c>
      <c r="R8" s="521">
        <f>'Pro 2'!F291</f>
        <v>0</v>
      </c>
      <c r="S8" s="521">
        <f>'Pro 2'!G291</f>
        <v>0</v>
      </c>
      <c r="T8" s="521">
        <f>'Pro 2'!H291</f>
        <v>0</v>
      </c>
      <c r="U8" s="521">
        <f>'Pro 2'!I291</f>
        <v>0</v>
      </c>
      <c r="V8" s="521">
        <f>'Pro 2'!J291</f>
        <v>0</v>
      </c>
      <c r="W8" s="521">
        <f>'Pro 2'!K291</f>
        <v>0</v>
      </c>
      <c r="X8" s="522">
        <f>'Pro 2'!L291</f>
        <v>0</v>
      </c>
      <c r="Y8" s="521">
        <f>'Pro 2'!E292/1000</f>
        <v>0</v>
      </c>
      <c r="Z8" s="521">
        <f>'Pro 2'!F292/1000</f>
        <v>0</v>
      </c>
      <c r="AA8" s="521">
        <f>'Pro 2'!G292/1000</f>
        <v>0</v>
      </c>
      <c r="AB8" s="521">
        <f>'Pro 2'!H292/1000</f>
        <v>0</v>
      </c>
      <c r="AC8" s="521">
        <f>'Pro 2'!I292/1000</f>
        <v>0</v>
      </c>
      <c r="AD8" s="521">
        <f>'Pro 2'!J292/1000</f>
        <v>0</v>
      </c>
      <c r="AE8" s="521">
        <f>'Pro 2'!K292/1000</f>
        <v>0</v>
      </c>
      <c r="AF8" s="522">
        <f>'Pro 2'!L292/1000</f>
        <v>0</v>
      </c>
      <c r="AG8" s="528">
        <f t="shared" si="0"/>
        <v>0</v>
      </c>
      <c r="AH8" s="528">
        <f t="shared" si="0"/>
        <v>0</v>
      </c>
      <c r="AI8" s="528">
        <f t="shared" si="0"/>
        <v>0</v>
      </c>
      <c r="AJ8" s="528">
        <f t="shared" si="0"/>
        <v>0</v>
      </c>
      <c r="AK8" s="528">
        <f t="shared" si="0"/>
        <v>0</v>
      </c>
      <c r="AL8" s="528">
        <f t="shared" si="0"/>
        <v>0</v>
      </c>
      <c r="AM8" s="528">
        <f t="shared" si="0"/>
        <v>0</v>
      </c>
      <c r="AN8" s="529">
        <f t="shared" si="0"/>
        <v>0</v>
      </c>
    </row>
    <row r="9" spans="1:40" ht="15" thickBot="1" x14ac:dyDescent="0.4">
      <c r="A9" s="538">
        <f t="shared" ref="A9" si="4">A8</f>
        <v>0</v>
      </c>
      <c r="B9" s="539"/>
      <c r="C9" s="539" t="s">
        <v>490</v>
      </c>
      <c r="D9" s="539" t="s">
        <v>492</v>
      </c>
      <c r="E9" s="540"/>
      <c r="F9" s="540"/>
      <c r="G9" s="540"/>
      <c r="H9" s="539" t="str">
        <f t="shared" si="2"/>
        <v>A - DOM</v>
      </c>
      <c r="I9" s="539" t="s">
        <v>492</v>
      </c>
      <c r="J9" s="539" t="s">
        <v>492</v>
      </c>
      <c r="K9" s="539" t="s">
        <v>492</v>
      </c>
      <c r="L9" s="539" t="s">
        <v>491</v>
      </c>
      <c r="M9" s="539" t="s">
        <v>492</v>
      </c>
      <c r="N9" s="539" t="s">
        <v>1014</v>
      </c>
      <c r="O9" s="539" t="s">
        <v>1008</v>
      </c>
      <c r="P9" s="541" t="str">
        <f>P8</f>
        <v>Dom-Sls</v>
      </c>
      <c r="Q9" s="542">
        <f>'Pro 2'!E295</f>
        <v>0</v>
      </c>
      <c r="R9" s="542">
        <f>'Pro 2'!F295</f>
        <v>0</v>
      </c>
      <c r="S9" s="542">
        <f>'Pro 2'!G295</f>
        <v>0</v>
      </c>
      <c r="T9" s="542">
        <f>'Pro 2'!H295</f>
        <v>0</v>
      </c>
      <c r="U9" s="542">
        <f>'Pro 2'!I295</f>
        <v>0</v>
      </c>
      <c r="V9" s="542">
        <f>'Pro 2'!J295</f>
        <v>0</v>
      </c>
      <c r="W9" s="542">
        <f>'Pro 2'!K295</f>
        <v>0</v>
      </c>
      <c r="X9" s="543">
        <f>'Pro 2'!L295</f>
        <v>0</v>
      </c>
      <c r="Y9" s="542">
        <f>'Pro 2'!E296/1000</f>
        <v>0</v>
      </c>
      <c r="Z9" s="542">
        <f>'Pro 2'!F296/1000</f>
        <v>0</v>
      </c>
      <c r="AA9" s="542">
        <f>'Pro 2'!G296/1000</f>
        <v>0</v>
      </c>
      <c r="AB9" s="542">
        <f>'Pro 2'!H296/1000</f>
        <v>0</v>
      </c>
      <c r="AC9" s="542">
        <f>'Pro 2'!I296/1000</f>
        <v>0</v>
      </c>
      <c r="AD9" s="542">
        <f>'Pro 2'!J296/1000</f>
        <v>0</v>
      </c>
      <c r="AE9" s="542">
        <f>'Pro 2'!K296/1000</f>
        <v>0</v>
      </c>
      <c r="AF9" s="543">
        <f>'Pro 2'!L296/1000</f>
        <v>0</v>
      </c>
      <c r="AG9" s="544">
        <f t="shared" si="0"/>
        <v>0</v>
      </c>
      <c r="AH9" s="544">
        <f t="shared" si="0"/>
        <v>0</v>
      </c>
      <c r="AI9" s="544">
        <f t="shared" si="0"/>
        <v>0</v>
      </c>
      <c r="AJ9" s="544">
        <f t="shared" si="0"/>
        <v>0</v>
      </c>
      <c r="AK9" s="544">
        <f t="shared" si="0"/>
        <v>0</v>
      </c>
      <c r="AL9" s="544">
        <f t="shared" si="0"/>
        <v>0</v>
      </c>
      <c r="AM9" s="544">
        <f t="shared" si="0"/>
        <v>0</v>
      </c>
      <c r="AN9" s="545">
        <f t="shared" si="0"/>
        <v>0</v>
      </c>
    </row>
  </sheetData>
  <sheetProtection algorithmName="SHA-512" hashValue="fxnsy0r7UH5lBR1lvjOvSGUMbxqCdLPgXCux+wPA4A5WRdm7n3FTHrSujR9YL6K6xYAh9kEC2Gl1kFD94Qy6mg==" saltValue="EQdoOe+88zyaMokZH51O5w==" spinCount="100000" sheet="1" objects="1" scenarios="1" selectLockedCell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EBE4-22C7-4744-A436-1A28C988F70D}">
  <sheetPr>
    <tabColor rgb="FFFF0000"/>
  </sheetPr>
  <dimension ref="A2:O9"/>
  <sheetViews>
    <sheetView workbookViewId="0"/>
  </sheetViews>
  <sheetFormatPr defaultRowHeight="14.5" x14ac:dyDescent="0.35"/>
  <cols>
    <col min="1" max="1" width="27.54296875" customWidth="1"/>
    <col min="2" max="2" width="15.6328125" customWidth="1"/>
    <col min="3" max="3" width="15.54296875" bestFit="1" customWidth="1"/>
    <col min="4" max="4" width="7.54296875" customWidth="1"/>
    <col min="5" max="5" width="72.6328125" customWidth="1"/>
    <col min="6" max="15" width="10.54296875" customWidth="1"/>
  </cols>
  <sheetData>
    <row r="2" spans="1:15" ht="15" thickBot="1" x14ac:dyDescent="0.4"/>
    <row r="3" spans="1:15" ht="15" thickBot="1" x14ac:dyDescent="0.4">
      <c r="F3" s="1002" t="s">
        <v>527</v>
      </c>
      <c r="G3" s="1003"/>
      <c r="H3" s="1003"/>
      <c r="I3" s="1003"/>
      <c r="J3" s="1003"/>
      <c r="K3" s="1004" t="s">
        <v>968</v>
      </c>
      <c r="L3" s="1004"/>
      <c r="M3" s="1004"/>
      <c r="N3" s="1004"/>
      <c r="O3" s="1005"/>
    </row>
    <row r="4" spans="1:15" x14ac:dyDescent="0.35">
      <c r="A4" s="546" t="s">
        <v>474</v>
      </c>
      <c r="B4" s="547" t="s">
        <v>498</v>
      </c>
      <c r="C4" s="547" t="s">
        <v>499</v>
      </c>
      <c r="D4" s="547" t="s">
        <v>500</v>
      </c>
      <c r="E4" s="547" t="s">
        <v>501</v>
      </c>
      <c r="F4" s="548">
        <v>2023</v>
      </c>
      <c r="G4" s="548">
        <v>2024</v>
      </c>
      <c r="H4" s="548">
        <v>2025</v>
      </c>
      <c r="I4" s="549" t="s">
        <v>910</v>
      </c>
      <c r="J4" s="549" t="s">
        <v>911</v>
      </c>
      <c r="K4" s="548">
        <f>F4</f>
        <v>2023</v>
      </c>
      <c r="L4" s="548">
        <f t="shared" ref="L4:O4" si="0">G4</f>
        <v>2024</v>
      </c>
      <c r="M4" s="548">
        <f t="shared" si="0"/>
        <v>2025</v>
      </c>
      <c r="N4" s="548" t="str">
        <f t="shared" si="0"/>
        <v>I 2025</v>
      </c>
      <c r="O4" s="549" t="str">
        <f t="shared" si="0"/>
        <v>I 2026</v>
      </c>
    </row>
    <row r="5" spans="1:15" x14ac:dyDescent="0.35">
      <c r="A5" s="550">
        <v>0</v>
      </c>
      <c r="B5" s="124" t="s">
        <v>969</v>
      </c>
      <c r="C5" s="124" t="s">
        <v>433</v>
      </c>
      <c r="D5" s="124" t="s">
        <v>502</v>
      </c>
      <c r="E5" s="68" t="s">
        <v>503</v>
      </c>
      <c r="F5" s="484">
        <f>'Pro 2'!G$34*K5</f>
        <v>0</v>
      </c>
      <c r="G5" s="484">
        <f>'Pro 2'!H$34*L5</f>
        <v>0</v>
      </c>
      <c r="H5" s="484">
        <f>'Pro 2'!I$34*M5</f>
        <v>0</v>
      </c>
      <c r="I5" s="484">
        <f>'Pro 2'!J$34*N5</f>
        <v>0</v>
      </c>
      <c r="J5" s="485">
        <f>'Pro 2'!K$34*O5</f>
        <v>0</v>
      </c>
      <c r="K5" s="559">
        <f>'Pro 2'!G206/100</f>
        <v>0</v>
      </c>
      <c r="L5" s="551">
        <f>'Pro 2'!H206/100</f>
        <v>0</v>
      </c>
      <c r="M5" s="551">
        <f>'Pro 2'!I206/100</f>
        <v>0</v>
      </c>
      <c r="N5" s="551">
        <f>'Pro 2'!J206/100</f>
        <v>0</v>
      </c>
      <c r="O5" s="502">
        <f>'Pro 2'!K206/100</f>
        <v>0</v>
      </c>
    </row>
    <row r="6" spans="1:15" x14ac:dyDescent="0.35">
      <c r="A6" s="552">
        <f>A5</f>
        <v>0</v>
      </c>
      <c r="B6" s="126" t="str">
        <f t="shared" ref="B6:C9" si="1">B5</f>
        <v>Producer</v>
      </c>
      <c r="C6" s="126" t="str">
        <f t="shared" si="1"/>
        <v>Domestic Sales</v>
      </c>
      <c r="D6" s="126" t="s">
        <v>504</v>
      </c>
      <c r="E6" s="69" t="s">
        <v>505</v>
      </c>
      <c r="F6" s="484">
        <f>'Pro 2'!G$34*K6</f>
        <v>0</v>
      </c>
      <c r="G6" s="484">
        <f>'Pro 2'!H$34*L6</f>
        <v>0</v>
      </c>
      <c r="H6" s="484">
        <f>'Pro 2'!I$34*M6</f>
        <v>0</v>
      </c>
      <c r="I6" s="484">
        <f>'Pro 2'!J$34*N6</f>
        <v>0</v>
      </c>
      <c r="J6" s="485">
        <f>'Pro 2'!K$34*O6</f>
        <v>0</v>
      </c>
      <c r="K6" s="559">
        <f>'Pro 2'!G207/100</f>
        <v>0</v>
      </c>
      <c r="L6" s="551">
        <f>'Pro 2'!H207/100</f>
        <v>0</v>
      </c>
      <c r="M6" s="551">
        <f>'Pro 2'!I207/100</f>
        <v>0</v>
      </c>
      <c r="N6" s="551">
        <f>'Pro 2'!J207/100</f>
        <v>0</v>
      </c>
      <c r="O6" s="502">
        <f>'Pro 2'!K207/100</f>
        <v>0</v>
      </c>
    </row>
    <row r="7" spans="1:15" x14ac:dyDescent="0.35">
      <c r="A7" s="552">
        <f t="shared" ref="A7:A9" si="2">A6</f>
        <v>0</v>
      </c>
      <c r="B7" s="126" t="str">
        <f t="shared" si="1"/>
        <v>Producer</v>
      </c>
      <c r="C7" s="126" t="str">
        <f t="shared" si="1"/>
        <v>Domestic Sales</v>
      </c>
      <c r="D7" s="126" t="s">
        <v>506</v>
      </c>
      <c r="E7" s="69" t="s">
        <v>507</v>
      </c>
      <c r="F7" s="484">
        <f>'Pro 2'!G$34*K7</f>
        <v>0</v>
      </c>
      <c r="G7" s="484">
        <f>'Pro 2'!H$34*L7</f>
        <v>0</v>
      </c>
      <c r="H7" s="484">
        <f>'Pro 2'!I$34*M7</f>
        <v>0</v>
      </c>
      <c r="I7" s="484">
        <f>'Pro 2'!J$34*N7</f>
        <v>0</v>
      </c>
      <c r="J7" s="485">
        <f>'Pro 2'!K$34*O7</f>
        <v>0</v>
      </c>
      <c r="K7" s="559">
        <f>'Pro 2'!G208/100</f>
        <v>0</v>
      </c>
      <c r="L7" s="551">
        <f>'Pro 2'!H208/100</f>
        <v>0</v>
      </c>
      <c r="M7" s="551">
        <f>'Pro 2'!I208/100</f>
        <v>0</v>
      </c>
      <c r="N7" s="551">
        <f>'Pro 2'!J208/100</f>
        <v>0</v>
      </c>
      <c r="O7" s="502">
        <f>'Pro 2'!K208/100</f>
        <v>0</v>
      </c>
    </row>
    <row r="8" spans="1:15" x14ac:dyDescent="0.35">
      <c r="A8" s="552">
        <f t="shared" si="2"/>
        <v>0</v>
      </c>
      <c r="B8" s="126" t="str">
        <f t="shared" si="1"/>
        <v>Producer</v>
      </c>
      <c r="C8" s="126" t="str">
        <f t="shared" si="1"/>
        <v>Domestic Sales</v>
      </c>
      <c r="D8" s="126" t="s">
        <v>508</v>
      </c>
      <c r="E8" s="69" t="s">
        <v>509</v>
      </c>
      <c r="F8" s="484">
        <f>'Pro 2'!G$34*K8</f>
        <v>0</v>
      </c>
      <c r="G8" s="484">
        <f>'Pro 2'!H$34*L8</f>
        <v>0</v>
      </c>
      <c r="H8" s="484">
        <f>'Pro 2'!I$34*M8</f>
        <v>0</v>
      </c>
      <c r="I8" s="484">
        <f>'Pro 2'!J$34*N8</f>
        <v>0</v>
      </c>
      <c r="J8" s="485">
        <f>'Pro 2'!K$34*O8</f>
        <v>0</v>
      </c>
      <c r="K8" s="559">
        <f>'Pro 2'!G209/100</f>
        <v>0</v>
      </c>
      <c r="L8" s="551">
        <f>'Pro 2'!H209/100</f>
        <v>0</v>
      </c>
      <c r="M8" s="551">
        <f>'Pro 2'!I209/100</f>
        <v>0</v>
      </c>
      <c r="N8" s="551">
        <f>'Pro 2'!J209/100</f>
        <v>0</v>
      </c>
      <c r="O8" s="502">
        <f>'Pro 2'!K209/100</f>
        <v>0</v>
      </c>
    </row>
    <row r="9" spans="1:15" ht="15" thickBot="1" x14ac:dyDescent="0.4">
      <c r="A9" s="553">
        <f t="shared" si="2"/>
        <v>0</v>
      </c>
      <c r="B9" s="554" t="str">
        <f t="shared" si="1"/>
        <v>Producer</v>
      </c>
      <c r="C9" s="554" t="str">
        <f t="shared" si="1"/>
        <v>Domestic Sales</v>
      </c>
      <c r="D9" s="554" t="s">
        <v>510</v>
      </c>
      <c r="E9" s="555" t="s">
        <v>511</v>
      </c>
      <c r="F9" s="556">
        <f>'Pro 2'!G$34*K9</f>
        <v>0</v>
      </c>
      <c r="G9" s="556">
        <f>'Pro 2'!H$34*L9</f>
        <v>0</v>
      </c>
      <c r="H9" s="556">
        <f>'Pro 2'!I$34*M9</f>
        <v>0</v>
      </c>
      <c r="I9" s="556">
        <f>'Pro 2'!J$34*N9</f>
        <v>0</v>
      </c>
      <c r="J9" s="560">
        <f>'Pro 2'!K$34*O9</f>
        <v>0</v>
      </c>
      <c r="K9" s="561">
        <f>'Pro 2'!G210/100</f>
        <v>0</v>
      </c>
      <c r="L9" s="557">
        <f>'Pro 2'!H210/100</f>
        <v>0</v>
      </c>
      <c r="M9" s="557">
        <f>'Pro 2'!I210/100</f>
        <v>0</v>
      </c>
      <c r="N9" s="557">
        <f>'Pro 2'!J210/100</f>
        <v>0</v>
      </c>
      <c r="O9" s="558">
        <f>'Pro 2'!K210/100</f>
        <v>0</v>
      </c>
    </row>
  </sheetData>
  <sheetProtection algorithmName="SHA-512" hashValue="bvJc4thjWBkBpxoUidCOntXpTw3D7+YBo1F0YZ91o+Kddaaw/MDgVNjfHfYH8lEMuK+dysqslTcD31SvOgaN0Q==" saltValue="mYYtnvqox2qad3nuo4jEqg==" spinCount="100000" sheet="1" objects="1" scenarios="1" selectLockedCells="1"/>
  <mergeCells count="2">
    <mergeCell ref="F3:J3"/>
    <mergeCell ref="K3:O3"/>
  </mergeCells>
  <dataValidations count="3">
    <dataValidation type="list" allowBlank="1" showInputMessage="1" showErrorMessage="1" sqref="C5:C8" xr:uid="{5CE5211F-1955-41CD-B179-B71910430DF4}">
      <formula1>$C$1:$C$6</formula1>
    </dataValidation>
    <dataValidation type="list" allowBlank="1" showInputMessage="1" showErrorMessage="1" sqref="B5" xr:uid="{AD81DBCD-1528-4361-9C25-C0631DA811FC}">
      <formula1>$B$1:$B$3</formula1>
    </dataValidation>
    <dataValidation type="list" allowBlank="1" showInputMessage="1" showErrorMessage="1" sqref="D5:D8" xr:uid="{BDBD8AC0-F42F-4F11-A4D5-E87E648CC080}">
      <formula1>$D$1:$D$8</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79A1D-60EE-401F-AC60-2E81CDD2FE60}">
  <sheetPr>
    <tabColor rgb="FFFF0000"/>
  </sheetPr>
  <dimension ref="A3:AN9"/>
  <sheetViews>
    <sheetView workbookViewId="0"/>
  </sheetViews>
  <sheetFormatPr defaultRowHeight="14.5" x14ac:dyDescent="0.35"/>
  <cols>
    <col min="1" max="1" width="27" customWidth="1"/>
    <col min="2" max="2" width="27" hidden="1" customWidth="1"/>
    <col min="3" max="3" width="11.453125" customWidth="1"/>
    <col min="4" max="6" width="4.6328125" hidden="1" customWidth="1"/>
    <col min="7" max="7" width="11.90625" customWidth="1"/>
    <col min="8" max="8" width="12" bestFit="1" customWidth="1"/>
    <col min="9" max="9" width="10.6328125" customWidth="1"/>
    <col min="10" max="10" width="19.6328125" customWidth="1"/>
    <col min="11" max="11" width="8.54296875" customWidth="1"/>
    <col min="12" max="12" width="21.08984375" bestFit="1" customWidth="1"/>
    <col min="13" max="13" width="12.90625" customWidth="1"/>
    <col min="14" max="14" width="15.08984375" customWidth="1"/>
    <col min="15" max="15" width="15.08984375" hidden="1" customWidth="1"/>
    <col min="16" max="16" width="9.90625" bestFit="1" customWidth="1"/>
    <col min="17" max="24" width="10.08984375" customWidth="1"/>
    <col min="25" max="32" width="11.08984375" customWidth="1"/>
    <col min="33" max="34" width="11.453125" customWidth="1"/>
    <col min="35" max="35" width="11.6328125" customWidth="1"/>
    <col min="36" max="36" width="10.453125" customWidth="1"/>
    <col min="37" max="37" width="11.36328125" customWidth="1"/>
    <col min="38" max="38" width="11.08984375" customWidth="1"/>
    <col min="39" max="39" width="11.453125" customWidth="1"/>
    <col min="40" max="40" width="10.6328125" customWidth="1"/>
  </cols>
  <sheetData>
    <row r="3" spans="1:40" ht="15" thickBot="1" x14ac:dyDescent="0.4"/>
    <row r="4" spans="1:40" ht="36.5" x14ac:dyDescent="0.35">
      <c r="A4" s="530" t="s">
        <v>474</v>
      </c>
      <c r="B4" s="298" t="s">
        <v>867</v>
      </c>
      <c r="C4" s="531" t="s">
        <v>475</v>
      </c>
      <c r="D4" s="566" t="s">
        <v>970</v>
      </c>
      <c r="E4" s="567" t="s">
        <v>869</v>
      </c>
      <c r="F4" s="567" t="s">
        <v>870</v>
      </c>
      <c r="G4" s="531" t="s">
        <v>478</v>
      </c>
      <c r="H4" s="531" t="s">
        <v>479</v>
      </c>
      <c r="I4" s="568" t="s">
        <v>871</v>
      </c>
      <c r="J4" s="531" t="s">
        <v>480</v>
      </c>
      <c r="K4" s="533" t="s">
        <v>872</v>
      </c>
      <c r="L4" s="533" t="s">
        <v>537</v>
      </c>
      <c r="M4" s="531" t="s">
        <v>512</v>
      </c>
      <c r="N4" s="533" t="s">
        <v>513</v>
      </c>
      <c r="O4" s="531" t="s">
        <v>514</v>
      </c>
      <c r="P4" s="534" t="s">
        <v>482</v>
      </c>
      <c r="Q4" s="533" t="s">
        <v>991</v>
      </c>
      <c r="R4" s="533" t="s">
        <v>992</v>
      </c>
      <c r="S4" s="533" t="s">
        <v>993</v>
      </c>
      <c r="T4" s="533" t="s">
        <v>994</v>
      </c>
      <c r="U4" s="533" t="s">
        <v>1015</v>
      </c>
      <c r="V4" s="533" t="s">
        <v>1016</v>
      </c>
      <c r="W4" s="533" t="s">
        <v>1017</v>
      </c>
      <c r="X4" s="533" t="s">
        <v>1018</v>
      </c>
      <c r="Y4" s="533" t="s">
        <v>995</v>
      </c>
      <c r="Z4" s="533" t="s">
        <v>996</v>
      </c>
      <c r="AA4" s="533" t="s">
        <v>997</v>
      </c>
      <c r="AB4" s="533" t="s">
        <v>998</v>
      </c>
      <c r="AC4" s="533" t="s">
        <v>1019</v>
      </c>
      <c r="AD4" s="533" t="s">
        <v>1020</v>
      </c>
      <c r="AE4" s="533" t="s">
        <v>1021</v>
      </c>
      <c r="AF4" s="533" t="s">
        <v>1022</v>
      </c>
      <c r="AG4" s="533" t="s">
        <v>999</v>
      </c>
      <c r="AH4" s="533" t="s">
        <v>1000</v>
      </c>
      <c r="AI4" s="533" t="s">
        <v>1001</v>
      </c>
      <c r="AJ4" s="533" t="s">
        <v>1002</v>
      </c>
      <c r="AK4" s="533" t="s">
        <v>1023</v>
      </c>
      <c r="AL4" s="533" t="s">
        <v>1024</v>
      </c>
      <c r="AM4" s="533" t="s">
        <v>1025</v>
      </c>
      <c r="AN4" s="534" t="s">
        <v>1026</v>
      </c>
    </row>
    <row r="5" spans="1:40" x14ac:dyDescent="0.35">
      <c r="A5" s="569">
        <f>Intro!E98</f>
        <v>0</v>
      </c>
      <c r="B5" s="570">
        <f>A5</f>
        <v>0</v>
      </c>
      <c r="C5" s="570" t="s">
        <v>490</v>
      </c>
      <c r="D5" s="314"/>
      <c r="E5" s="314"/>
      <c r="F5" s="314"/>
      <c r="G5" s="570" t="s">
        <v>515</v>
      </c>
      <c r="H5" s="570" t="s">
        <v>492</v>
      </c>
      <c r="I5" s="570" t="s">
        <v>492</v>
      </c>
      <c r="J5" s="570" t="s">
        <v>492</v>
      </c>
      <c r="K5" s="570"/>
      <c r="L5" s="570" t="s">
        <v>492</v>
      </c>
      <c r="M5" s="571" t="s">
        <v>516</v>
      </c>
      <c r="N5" s="572">
        <f>'Pro 2'!C219</f>
        <v>0</v>
      </c>
      <c r="O5" s="570" t="s">
        <v>659</v>
      </c>
      <c r="P5" s="562" t="s">
        <v>493</v>
      </c>
      <c r="Q5" s="503">
        <f>'Pro 2'!E231</f>
        <v>0</v>
      </c>
      <c r="R5" s="503">
        <f>'Pro 2'!F231</f>
        <v>0</v>
      </c>
      <c r="S5" s="503">
        <f>'Pro 2'!G231</f>
        <v>0</v>
      </c>
      <c r="T5" s="503">
        <f>'Pro 2'!H231</f>
        <v>0</v>
      </c>
      <c r="U5" s="503">
        <f>'Pro 2'!I231</f>
        <v>0</v>
      </c>
      <c r="V5" s="503">
        <f>'Pro 2'!J231</f>
        <v>0</v>
      </c>
      <c r="W5" s="503">
        <f>'Pro 2'!K231</f>
        <v>0</v>
      </c>
      <c r="X5" s="504">
        <f>'Pro 2'!L231</f>
        <v>0</v>
      </c>
      <c r="Y5" s="503">
        <f>'Pro 2'!E232/1000</f>
        <v>0</v>
      </c>
      <c r="Z5" s="503">
        <f>'Pro 2'!F232/1000</f>
        <v>0</v>
      </c>
      <c r="AA5" s="503">
        <f>'Pro 2'!G232/1000</f>
        <v>0</v>
      </c>
      <c r="AB5" s="503">
        <f>'Pro 2'!H232/1000</f>
        <v>0</v>
      </c>
      <c r="AC5" s="503">
        <f>'Pro 2'!I232/1000</f>
        <v>0</v>
      </c>
      <c r="AD5" s="503">
        <f>'Pro 2'!J232/1000</f>
        <v>0</v>
      </c>
      <c r="AE5" s="503">
        <f>'Pro 2'!K232/1000</f>
        <v>0</v>
      </c>
      <c r="AF5" s="504">
        <f>'Pro 2'!L232/1000</f>
        <v>0</v>
      </c>
      <c r="AG5" s="563">
        <f t="shared" ref="AG5:AN9" si="0">IF(ISERROR(Y5/Q5),0,Y5/Q5)*1000</f>
        <v>0</v>
      </c>
      <c r="AH5" s="563">
        <f t="shared" si="0"/>
        <v>0</v>
      </c>
      <c r="AI5" s="563">
        <f t="shared" si="0"/>
        <v>0</v>
      </c>
      <c r="AJ5" s="563">
        <f t="shared" si="0"/>
        <v>0</v>
      </c>
      <c r="AK5" s="563">
        <f t="shared" si="0"/>
        <v>0</v>
      </c>
      <c r="AL5" s="563">
        <f t="shared" si="0"/>
        <v>0</v>
      </c>
      <c r="AM5" s="563">
        <f t="shared" si="0"/>
        <v>0</v>
      </c>
      <c r="AN5" s="564">
        <f t="shared" si="0"/>
        <v>0</v>
      </c>
    </row>
    <row r="6" spans="1:40" x14ac:dyDescent="0.35">
      <c r="A6" s="573">
        <f>A5</f>
        <v>0</v>
      </c>
      <c r="B6" s="574">
        <f>B5</f>
        <v>0</v>
      </c>
      <c r="C6" s="574" t="str">
        <f>C5</f>
        <v>1 - Producer</v>
      </c>
      <c r="D6" s="575"/>
      <c r="E6" s="575"/>
      <c r="F6" s="575"/>
      <c r="G6" s="574" t="str">
        <f>G5</f>
        <v>A - DOM</v>
      </c>
      <c r="H6" s="574" t="s">
        <v>492</v>
      </c>
      <c r="I6" s="574" t="s">
        <v>492</v>
      </c>
      <c r="J6" s="574" t="s">
        <v>492</v>
      </c>
      <c r="K6" s="574"/>
      <c r="L6" s="574" t="s">
        <v>492</v>
      </c>
      <c r="M6" s="576" t="s">
        <v>517</v>
      </c>
      <c r="N6" s="577">
        <f>'Pro 2'!C220</f>
        <v>0</v>
      </c>
      <c r="O6" s="574" t="s">
        <v>659</v>
      </c>
      <c r="P6" s="505" t="str">
        <f t="shared" ref="P6:P9" si="1">P5</f>
        <v>Dom</v>
      </c>
      <c r="Q6" s="506">
        <f>'Pro 2'!E235</f>
        <v>0</v>
      </c>
      <c r="R6" s="506">
        <f>'Pro 2'!F235</f>
        <v>0</v>
      </c>
      <c r="S6" s="506">
        <f>'Pro 2'!G235</f>
        <v>0</v>
      </c>
      <c r="T6" s="506">
        <f>'Pro 2'!H235</f>
        <v>0</v>
      </c>
      <c r="U6" s="506">
        <f>'Pro 2'!I235</f>
        <v>0</v>
      </c>
      <c r="V6" s="506">
        <f>'Pro 2'!J235</f>
        <v>0</v>
      </c>
      <c r="W6" s="506">
        <f>'Pro 2'!K235</f>
        <v>0</v>
      </c>
      <c r="X6" s="507">
        <f>'Pro 2'!L235</f>
        <v>0</v>
      </c>
      <c r="Y6" s="506">
        <f>'Pro 2'!E236/1000</f>
        <v>0</v>
      </c>
      <c r="Z6" s="506">
        <f>'Pro 2'!F236/1000</f>
        <v>0</v>
      </c>
      <c r="AA6" s="506">
        <f>'Pro 2'!G236/1000</f>
        <v>0</v>
      </c>
      <c r="AB6" s="506">
        <f>'Pro 2'!H236/1000</f>
        <v>0</v>
      </c>
      <c r="AC6" s="506">
        <f>'Pro 2'!I236/1000</f>
        <v>0</v>
      </c>
      <c r="AD6" s="506">
        <f>'Pro 2'!J236/1000</f>
        <v>0</v>
      </c>
      <c r="AE6" s="506">
        <f>'Pro 2'!K236/1000</f>
        <v>0</v>
      </c>
      <c r="AF6" s="507">
        <f>'Pro 2'!L236/1000</f>
        <v>0</v>
      </c>
      <c r="AG6" s="508">
        <f t="shared" si="0"/>
        <v>0</v>
      </c>
      <c r="AH6" s="508">
        <f t="shared" si="0"/>
        <v>0</v>
      </c>
      <c r="AI6" s="508">
        <f t="shared" si="0"/>
        <v>0</v>
      </c>
      <c r="AJ6" s="508">
        <f t="shared" si="0"/>
        <v>0</v>
      </c>
      <c r="AK6" s="508">
        <f t="shared" si="0"/>
        <v>0</v>
      </c>
      <c r="AL6" s="508">
        <f t="shared" si="0"/>
        <v>0</v>
      </c>
      <c r="AM6" s="508">
        <f t="shared" si="0"/>
        <v>0</v>
      </c>
      <c r="AN6" s="509">
        <f t="shared" si="0"/>
        <v>0</v>
      </c>
    </row>
    <row r="7" spans="1:40" x14ac:dyDescent="0.35">
      <c r="A7" s="578">
        <f t="shared" ref="A7:C9" si="2">A6</f>
        <v>0</v>
      </c>
      <c r="B7" s="579">
        <f t="shared" si="2"/>
        <v>0</v>
      </c>
      <c r="C7" s="579" t="str">
        <f t="shared" si="2"/>
        <v>1 - Producer</v>
      </c>
      <c r="D7" s="580"/>
      <c r="E7" s="580"/>
      <c r="F7" s="580"/>
      <c r="G7" s="579" t="str">
        <f t="shared" ref="G7:G9" si="3">G6</f>
        <v>A - DOM</v>
      </c>
      <c r="H7" s="579" t="s">
        <v>492</v>
      </c>
      <c r="I7" s="579" t="s">
        <v>492</v>
      </c>
      <c r="J7" s="579" t="s">
        <v>492</v>
      </c>
      <c r="K7" s="579"/>
      <c r="L7" s="579" t="s">
        <v>492</v>
      </c>
      <c r="M7" s="581" t="s">
        <v>518</v>
      </c>
      <c r="N7" s="577">
        <f>'Pro 2'!C221</f>
        <v>0</v>
      </c>
      <c r="O7" s="579" t="s">
        <v>659</v>
      </c>
      <c r="P7" s="565" t="str">
        <f t="shared" si="1"/>
        <v>Dom</v>
      </c>
      <c r="Q7" s="506">
        <f>'Pro 2'!E239</f>
        <v>0</v>
      </c>
      <c r="R7" s="506">
        <f>'Pro 2'!F239</f>
        <v>0</v>
      </c>
      <c r="S7" s="506">
        <f>'Pro 2'!G239</f>
        <v>0</v>
      </c>
      <c r="T7" s="506">
        <f>'Pro 2'!H239</f>
        <v>0</v>
      </c>
      <c r="U7" s="506">
        <f>'Pro 2'!I239</f>
        <v>0</v>
      </c>
      <c r="V7" s="506">
        <f>'Pro 2'!J239</f>
        <v>0</v>
      </c>
      <c r="W7" s="506">
        <f>'Pro 2'!K239</f>
        <v>0</v>
      </c>
      <c r="X7" s="507">
        <f>'Pro 2'!L239</f>
        <v>0</v>
      </c>
      <c r="Y7" s="506">
        <f>'Pro 2'!E240/1000</f>
        <v>0</v>
      </c>
      <c r="Z7" s="506">
        <f>'Pro 2'!F240/1000</f>
        <v>0</v>
      </c>
      <c r="AA7" s="506">
        <f>'Pro 2'!G240/1000</f>
        <v>0</v>
      </c>
      <c r="AB7" s="506">
        <f>'Pro 2'!H240/1000</f>
        <v>0</v>
      </c>
      <c r="AC7" s="506">
        <f>'Pro 2'!I240/1000</f>
        <v>0</v>
      </c>
      <c r="AD7" s="506">
        <f>'Pro 2'!J240/1000</f>
        <v>0</v>
      </c>
      <c r="AE7" s="506">
        <f>'Pro 2'!K240/1000</f>
        <v>0</v>
      </c>
      <c r="AF7" s="507">
        <f>'Pro 2'!L240/1000</f>
        <v>0</v>
      </c>
      <c r="AG7" s="528">
        <f t="shared" si="0"/>
        <v>0</v>
      </c>
      <c r="AH7" s="528">
        <f t="shared" si="0"/>
        <v>0</v>
      </c>
      <c r="AI7" s="528">
        <f t="shared" si="0"/>
        <v>0</v>
      </c>
      <c r="AJ7" s="528">
        <f t="shared" si="0"/>
        <v>0</v>
      </c>
      <c r="AK7" s="528">
        <f t="shared" si="0"/>
        <v>0</v>
      </c>
      <c r="AL7" s="528">
        <f t="shared" si="0"/>
        <v>0</v>
      </c>
      <c r="AM7" s="528">
        <f t="shared" si="0"/>
        <v>0</v>
      </c>
      <c r="AN7" s="529">
        <f t="shared" si="0"/>
        <v>0</v>
      </c>
    </row>
    <row r="8" spans="1:40" x14ac:dyDescent="0.35">
      <c r="A8" s="573">
        <f t="shared" si="2"/>
        <v>0</v>
      </c>
      <c r="B8" s="574">
        <f t="shared" si="2"/>
        <v>0</v>
      </c>
      <c r="C8" s="574" t="str">
        <f t="shared" si="2"/>
        <v>1 - Producer</v>
      </c>
      <c r="D8" s="575"/>
      <c r="E8" s="575"/>
      <c r="F8" s="575"/>
      <c r="G8" s="574" t="str">
        <f t="shared" si="3"/>
        <v>A - DOM</v>
      </c>
      <c r="H8" s="574" t="s">
        <v>492</v>
      </c>
      <c r="I8" s="574" t="s">
        <v>492</v>
      </c>
      <c r="J8" s="574" t="s">
        <v>492</v>
      </c>
      <c r="K8" s="574"/>
      <c r="L8" s="574" t="s">
        <v>492</v>
      </c>
      <c r="M8" s="576" t="s">
        <v>519</v>
      </c>
      <c r="N8" s="577">
        <f>'Pro 2'!C222</f>
        <v>0</v>
      </c>
      <c r="O8" s="574" t="s">
        <v>659</v>
      </c>
      <c r="P8" s="505" t="str">
        <f t="shared" si="1"/>
        <v>Dom</v>
      </c>
      <c r="Q8" s="506">
        <f>'Pro 2'!E243</f>
        <v>0</v>
      </c>
      <c r="R8" s="506">
        <f>'Pro 2'!F243</f>
        <v>0</v>
      </c>
      <c r="S8" s="506">
        <f>'Pro 2'!G243</f>
        <v>0</v>
      </c>
      <c r="T8" s="506">
        <f>'Pro 2'!H243</f>
        <v>0</v>
      </c>
      <c r="U8" s="506">
        <f>'Pro 2'!I243</f>
        <v>0</v>
      </c>
      <c r="V8" s="506">
        <f>'Pro 2'!J243</f>
        <v>0</v>
      </c>
      <c r="W8" s="506">
        <f>'Pro 2'!K243</f>
        <v>0</v>
      </c>
      <c r="X8" s="507">
        <f>'Pro 2'!L243</f>
        <v>0</v>
      </c>
      <c r="Y8" s="506">
        <f>'Pro 2'!E244/1000</f>
        <v>0</v>
      </c>
      <c r="Z8" s="506">
        <f>'Pro 2'!F244/1000</f>
        <v>0</v>
      </c>
      <c r="AA8" s="506">
        <f>'Pro 2'!G244/1000</f>
        <v>0</v>
      </c>
      <c r="AB8" s="506">
        <f>'Pro 2'!H244/1000</f>
        <v>0</v>
      </c>
      <c r="AC8" s="506">
        <f>'Pro 2'!I244/1000</f>
        <v>0</v>
      </c>
      <c r="AD8" s="506">
        <f>'Pro 2'!J244/1000</f>
        <v>0</v>
      </c>
      <c r="AE8" s="506">
        <f>'Pro 2'!K244/1000</f>
        <v>0</v>
      </c>
      <c r="AF8" s="507">
        <f>'Pro 2'!L244/1000</f>
        <v>0</v>
      </c>
      <c r="AG8" s="508">
        <f t="shared" si="0"/>
        <v>0</v>
      </c>
      <c r="AH8" s="508">
        <f t="shared" si="0"/>
        <v>0</v>
      </c>
      <c r="AI8" s="508">
        <f t="shared" si="0"/>
        <v>0</v>
      </c>
      <c r="AJ8" s="508">
        <f t="shared" si="0"/>
        <v>0</v>
      </c>
      <c r="AK8" s="508">
        <f t="shared" si="0"/>
        <v>0</v>
      </c>
      <c r="AL8" s="508">
        <f t="shared" si="0"/>
        <v>0</v>
      </c>
      <c r="AM8" s="508">
        <f t="shared" si="0"/>
        <v>0</v>
      </c>
      <c r="AN8" s="509">
        <f t="shared" si="0"/>
        <v>0</v>
      </c>
    </row>
    <row r="9" spans="1:40" ht="15" thickBot="1" x14ac:dyDescent="0.4">
      <c r="A9" s="582">
        <f t="shared" si="2"/>
        <v>0</v>
      </c>
      <c r="B9" s="583">
        <f t="shared" si="2"/>
        <v>0</v>
      </c>
      <c r="C9" s="583" t="str">
        <f t="shared" si="2"/>
        <v>1 - Producer</v>
      </c>
      <c r="D9" s="584"/>
      <c r="E9" s="584"/>
      <c r="F9" s="584"/>
      <c r="G9" s="583" t="str">
        <f t="shared" si="3"/>
        <v>A - DOM</v>
      </c>
      <c r="H9" s="583" t="s">
        <v>492</v>
      </c>
      <c r="I9" s="583" t="s">
        <v>492</v>
      </c>
      <c r="J9" s="583" t="s">
        <v>492</v>
      </c>
      <c r="K9" s="583"/>
      <c r="L9" s="583" t="s">
        <v>492</v>
      </c>
      <c r="M9" s="585" t="s">
        <v>520</v>
      </c>
      <c r="N9" s="586">
        <f>'Pro 2'!C223</f>
        <v>0</v>
      </c>
      <c r="O9" s="583" t="s">
        <v>659</v>
      </c>
      <c r="P9" s="587" t="str">
        <f t="shared" si="1"/>
        <v>Dom</v>
      </c>
      <c r="Q9" s="590">
        <f>'Pro 2'!E247</f>
        <v>0</v>
      </c>
      <c r="R9" s="590">
        <f>'Pro 2'!F247</f>
        <v>0</v>
      </c>
      <c r="S9" s="590">
        <f>'Pro 2'!G247</f>
        <v>0</v>
      </c>
      <c r="T9" s="590">
        <f>'Pro 2'!H247</f>
        <v>0</v>
      </c>
      <c r="U9" s="590">
        <f>'Pro 2'!I247</f>
        <v>0</v>
      </c>
      <c r="V9" s="590">
        <f>'Pro 2'!J247</f>
        <v>0</v>
      </c>
      <c r="W9" s="590">
        <f>'Pro 2'!K247</f>
        <v>0</v>
      </c>
      <c r="X9" s="591">
        <f>'Pro 2'!L247</f>
        <v>0</v>
      </c>
      <c r="Y9" s="590">
        <f>'Pro 2'!E248/1000</f>
        <v>0</v>
      </c>
      <c r="Z9" s="590">
        <f>'Pro 2'!F248/1000</f>
        <v>0</v>
      </c>
      <c r="AA9" s="590">
        <f>'Pro 2'!G248/1000</f>
        <v>0</v>
      </c>
      <c r="AB9" s="590">
        <f>'Pro 2'!H248/1000</f>
        <v>0</v>
      </c>
      <c r="AC9" s="590">
        <f>'Pro 2'!I248/1000</f>
        <v>0</v>
      </c>
      <c r="AD9" s="590">
        <f>'Pro 2'!J248/1000</f>
        <v>0</v>
      </c>
      <c r="AE9" s="590">
        <f>'Pro 2'!K248/1000</f>
        <v>0</v>
      </c>
      <c r="AF9" s="591">
        <f>'Pro 2'!L248/1000</f>
        <v>0</v>
      </c>
      <c r="AG9" s="588">
        <f t="shared" si="0"/>
        <v>0</v>
      </c>
      <c r="AH9" s="588">
        <f t="shared" si="0"/>
        <v>0</v>
      </c>
      <c r="AI9" s="588">
        <f t="shared" si="0"/>
        <v>0</v>
      </c>
      <c r="AJ9" s="588">
        <f t="shared" si="0"/>
        <v>0</v>
      </c>
      <c r="AK9" s="588">
        <f t="shared" si="0"/>
        <v>0</v>
      </c>
      <c r="AL9" s="588">
        <f t="shared" si="0"/>
        <v>0</v>
      </c>
      <c r="AM9" s="588">
        <f t="shared" si="0"/>
        <v>0</v>
      </c>
      <c r="AN9" s="589">
        <f t="shared" si="0"/>
        <v>0</v>
      </c>
    </row>
  </sheetData>
  <sheetProtection algorithmName="SHA-512" hashValue="JUYuZ70+2wjtCcEaOzU5oPuo6kuA9oolCRtFeozWpbXoniH80xOeyW8MBhaqUbbvWw2+XAzEKAcsOjFrTWsdXw==" saltValue="5H3dw04ez5AWVYTz+gqOwQ==" spinCount="100000" sheet="1" objects="1" scenarios="1" selectLockedCells="1"/>
  <dataValidations count="3">
    <dataValidation type="list" allowBlank="1" showInputMessage="1" showErrorMessage="1" sqref="C5:C9" xr:uid="{6E4BD549-5501-4190-AE8F-2A73E7FD3737}">
      <formula1>$C$1:$C$2</formula1>
    </dataValidation>
    <dataValidation type="list" allowBlank="1" showInputMessage="1" showErrorMessage="1" sqref="P5:P9" xr:uid="{4CD28921-C536-495F-B254-F1B619EA100B}">
      <formula1>$P$1:$P$2</formula1>
    </dataValidation>
    <dataValidation type="list" allowBlank="1" showInputMessage="1" showErrorMessage="1" sqref="M5:M9" xr:uid="{ED71E756-2DF0-4C46-B10E-C782AE73FC9B}">
      <formula1>$M$1:$M$5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DF96-1179-4B28-B0AC-5C6454D4E763}">
  <sheetPr>
    <tabColor rgb="FF00B0F0"/>
    <pageSetUpPr fitToPage="1"/>
  </sheetPr>
  <dimension ref="A1:V152"/>
  <sheetViews>
    <sheetView showGridLines="0" tabSelected="1" zoomScaleNormal="100" workbookViewId="0">
      <selection activeCell="G21" sqref="G21:G22"/>
    </sheetView>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23" width="9" style="2" customWidth="1"/>
    <col min="24" max="16384" width="9.08984375" style="2"/>
  </cols>
  <sheetData>
    <row r="1" spans="1:22" x14ac:dyDescent="0.35">
      <c r="O1" s="2" t="s">
        <v>715</v>
      </c>
      <c r="P1" s="2" t="s">
        <v>715</v>
      </c>
      <c r="Q1" s="3"/>
      <c r="R1" s="3"/>
      <c r="S1" s="3"/>
      <c r="T1" s="3"/>
      <c r="U1" s="3"/>
      <c r="V1" s="3"/>
    </row>
    <row r="2" spans="1:22" x14ac:dyDescent="0.35">
      <c r="B2" s="20" t="s">
        <v>0</v>
      </c>
      <c r="C2" s="20"/>
      <c r="O2" s="3" t="s">
        <v>164</v>
      </c>
      <c r="P2" s="3" t="s">
        <v>165</v>
      </c>
    </row>
    <row r="3" spans="1:22" x14ac:dyDescent="0.35">
      <c r="B3" s="21"/>
      <c r="C3" s="21"/>
      <c r="O3" s="8"/>
      <c r="P3" s="8"/>
    </row>
    <row r="4" spans="1:22" s="8" customFormat="1" x14ac:dyDescent="0.35">
      <c r="A4" s="13"/>
      <c r="B4" s="614" t="s">
        <v>1032</v>
      </c>
      <c r="C4" s="615"/>
      <c r="D4" s="615"/>
      <c r="E4" s="615"/>
      <c r="F4" s="615"/>
      <c r="G4" s="615"/>
      <c r="H4" s="615"/>
      <c r="I4" s="615"/>
      <c r="J4" s="615"/>
      <c r="K4" s="615"/>
      <c r="L4" s="616"/>
      <c r="M4" s="15"/>
      <c r="N4" s="15"/>
      <c r="O4" s="14"/>
      <c r="P4" s="14"/>
    </row>
    <row r="5" spans="1:22" s="8" customFormat="1" x14ac:dyDescent="0.35">
      <c r="A5" s="13"/>
      <c r="B5" s="617" t="str">
        <f>Variables!B2</f>
        <v>NQ-2026-003</v>
      </c>
      <c r="C5" s="618"/>
      <c r="D5" s="618"/>
      <c r="E5" s="618"/>
      <c r="F5" s="618"/>
      <c r="G5" s="618"/>
      <c r="H5" s="618"/>
      <c r="I5" s="618"/>
      <c r="J5" s="618"/>
      <c r="K5" s="618"/>
      <c r="L5" s="619"/>
      <c r="M5" s="15"/>
      <c r="N5" s="15"/>
      <c r="O5" s="14"/>
      <c r="P5" s="14"/>
    </row>
    <row r="6" spans="1:22" s="9" customFormat="1" x14ac:dyDescent="0.35">
      <c r="A6" s="13"/>
      <c r="B6" s="622" t="str">
        <f>UPPER(Variables!B3&amp;" | "&amp;Variables!C3)</f>
        <v>UNARMOURED BUILDING CABLES | CÂBLES DE BÂTIMENTS NON ARMÉS</v>
      </c>
      <c r="C6" s="623"/>
      <c r="D6" s="623"/>
      <c r="E6" s="623"/>
      <c r="F6" s="623"/>
      <c r="G6" s="623"/>
      <c r="H6" s="623"/>
      <c r="I6" s="623"/>
      <c r="J6" s="623"/>
      <c r="K6" s="623"/>
      <c r="L6" s="624"/>
      <c r="M6" s="14"/>
      <c r="N6" s="14"/>
      <c r="O6" s="10"/>
      <c r="P6" s="10"/>
    </row>
    <row r="7" spans="1:22" s="9" customFormat="1" x14ac:dyDescent="0.35">
      <c r="A7" s="13"/>
      <c r="B7" s="22"/>
      <c r="C7" s="22"/>
      <c r="D7" s="23"/>
      <c r="E7" s="23"/>
      <c r="F7" s="23"/>
      <c r="G7" s="23"/>
      <c r="H7" s="23"/>
      <c r="I7" s="23"/>
      <c r="J7" s="23"/>
      <c r="K7" s="23"/>
      <c r="L7" s="23"/>
      <c r="O7" s="10"/>
      <c r="P7" s="10"/>
    </row>
    <row r="8" spans="1:22" s="8" customFormat="1" x14ac:dyDescent="0.35">
      <c r="A8" s="13"/>
      <c r="B8" s="599" t="s">
        <v>619</v>
      </c>
      <c r="C8" s="600"/>
      <c r="D8" s="600"/>
      <c r="E8" s="600"/>
      <c r="F8" s="600"/>
      <c r="G8" s="600"/>
      <c r="H8" s="600"/>
      <c r="I8" s="600"/>
      <c r="J8" s="600"/>
      <c r="K8" s="600"/>
      <c r="L8" s="601"/>
      <c r="M8" s="15"/>
      <c r="N8" s="15"/>
      <c r="O8" s="14"/>
      <c r="P8" s="14"/>
    </row>
    <row r="9" spans="1:22" x14ac:dyDescent="0.35">
      <c r="B9" s="24"/>
      <c r="C9" s="25"/>
      <c r="D9" s="26"/>
      <c r="E9" s="26"/>
      <c r="F9" s="26"/>
      <c r="G9" s="26"/>
      <c r="H9" s="26"/>
      <c r="I9" s="26"/>
      <c r="J9" s="26"/>
      <c r="K9" s="26"/>
      <c r="L9" s="27"/>
      <c r="M9" s="2"/>
      <c r="O9" s="642" t="s">
        <v>698</v>
      </c>
      <c r="P9" s="642"/>
    </row>
    <row r="10" spans="1:22" x14ac:dyDescent="0.35">
      <c r="B10" s="602"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unarmoured building cables (as defined below) originating in or exported from China. Your firm's knowledge and experience would aid the Tribunal in the proper conduct of its inquiry by helping it better understand the Canadian market for unarmoured building cables. The Tribunal therefore requests a response to this questionnaire from your firm.</v>
      </c>
      <c r="C10" s="603"/>
      <c r="D10" s="603"/>
      <c r="E10" s="603"/>
      <c r="F10" s="603"/>
      <c r="G10" s="151"/>
      <c r="H10" s="620" t="str">
        <f>"Le Tribunal canadien du commerce extérieur (le Tribunal) a ouvert une enquête concernant "&amp;Variables!C4&amp;" de "&amp;Variables!C3&amp;" (tels que définis ci-dessous) originaires ou exportés de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câbles de bâtiments non armés (tels que définis ci-dessous) originaires ou exportés de la Chine. Les connaissances et l'expérience de votre entreprise aideraient le Tribunal à mener correctement son enquête en lui permettant de mieux comprendre le marché canadien de câbles de bâtiments non armés. Le Tribunal demande donc à votre entreprise de répondre à ce questionnaire.</v>
      </c>
      <c r="I10" s="620"/>
      <c r="J10" s="620"/>
      <c r="K10" s="620"/>
      <c r="L10" s="621"/>
      <c r="M10" s="2"/>
      <c r="O10" s="642"/>
      <c r="P10" s="642"/>
    </row>
    <row r="11" spans="1:22" x14ac:dyDescent="0.35">
      <c r="B11" s="602"/>
      <c r="C11" s="603"/>
      <c r="D11" s="603"/>
      <c r="E11" s="603"/>
      <c r="F11" s="603"/>
      <c r="G11" s="151"/>
      <c r="H11" s="620"/>
      <c r="I11" s="620"/>
      <c r="J11" s="620"/>
      <c r="K11" s="620"/>
      <c r="L11" s="621"/>
      <c r="M11" s="2"/>
      <c r="O11" s="642"/>
      <c r="P11" s="642"/>
    </row>
    <row r="12" spans="1:22" x14ac:dyDescent="0.35">
      <c r="B12" s="602"/>
      <c r="C12" s="603"/>
      <c r="D12" s="603"/>
      <c r="E12" s="603"/>
      <c r="F12" s="603"/>
      <c r="G12" s="151"/>
      <c r="H12" s="620"/>
      <c r="I12" s="620"/>
      <c r="J12" s="620"/>
      <c r="K12" s="620"/>
      <c r="L12" s="621"/>
      <c r="M12" s="2"/>
      <c r="O12" s="642"/>
      <c r="P12" s="642"/>
    </row>
    <row r="13" spans="1:22" x14ac:dyDescent="0.35">
      <c r="B13" s="602"/>
      <c r="C13" s="603"/>
      <c r="D13" s="603"/>
      <c r="E13" s="603"/>
      <c r="F13" s="603"/>
      <c r="G13" s="151"/>
      <c r="H13" s="620"/>
      <c r="I13" s="620"/>
      <c r="J13" s="620"/>
      <c r="K13" s="620"/>
      <c r="L13" s="621"/>
      <c r="M13" s="2"/>
      <c r="O13" s="642"/>
      <c r="P13" s="642"/>
    </row>
    <row r="14" spans="1:22" x14ac:dyDescent="0.35">
      <c r="B14" s="602"/>
      <c r="C14" s="603"/>
      <c r="D14" s="603"/>
      <c r="E14" s="603"/>
      <c r="F14" s="603"/>
      <c r="G14" s="151"/>
      <c r="H14" s="620"/>
      <c r="I14" s="620"/>
      <c r="J14" s="620"/>
      <c r="K14" s="620"/>
      <c r="L14" s="621"/>
      <c r="M14" s="2"/>
      <c r="O14" s="642"/>
      <c r="P14" s="642"/>
    </row>
    <row r="15" spans="1:22" x14ac:dyDescent="0.35">
      <c r="B15" s="602"/>
      <c r="C15" s="603"/>
      <c r="D15" s="603"/>
      <c r="E15" s="603"/>
      <c r="F15" s="603"/>
      <c r="G15" s="151"/>
      <c r="H15" s="620"/>
      <c r="I15" s="620"/>
      <c r="J15" s="620"/>
      <c r="K15" s="620"/>
      <c r="L15" s="621"/>
      <c r="M15" s="2"/>
      <c r="O15" s="642"/>
      <c r="P15" s="642"/>
    </row>
    <row r="16" spans="1:22" x14ac:dyDescent="0.35">
      <c r="B16" s="602"/>
      <c r="C16" s="603"/>
      <c r="D16" s="603"/>
      <c r="E16" s="603"/>
      <c r="F16" s="603"/>
      <c r="G16" s="151"/>
      <c r="H16" s="620"/>
      <c r="I16" s="620"/>
      <c r="J16" s="620"/>
      <c r="K16" s="620"/>
      <c r="L16" s="621"/>
      <c r="M16" s="2"/>
      <c r="O16" s="642"/>
      <c r="P16" s="642"/>
    </row>
    <row r="17" spans="1:16" x14ac:dyDescent="0.35">
      <c r="B17" s="175"/>
      <c r="C17" s="176"/>
      <c r="D17" s="176"/>
      <c r="E17" s="176"/>
      <c r="F17" s="176"/>
      <c r="G17" s="176"/>
      <c r="H17" s="176"/>
      <c r="I17" s="176"/>
      <c r="J17" s="176"/>
      <c r="K17" s="176"/>
      <c r="L17" s="177"/>
      <c r="M17" s="2"/>
      <c r="O17" s="642"/>
      <c r="P17" s="642"/>
    </row>
    <row r="18" spans="1:16" s="9" customFormat="1" x14ac:dyDescent="0.35">
      <c r="A18" s="13"/>
      <c r="B18" s="22"/>
      <c r="C18" s="22"/>
      <c r="D18" s="23"/>
      <c r="E18" s="23"/>
      <c r="F18" s="23"/>
      <c r="G18" s="23"/>
      <c r="H18" s="23"/>
      <c r="I18" s="23"/>
      <c r="J18" s="23"/>
      <c r="K18" s="23"/>
      <c r="L18" s="23"/>
      <c r="O18" s="10"/>
      <c r="P18" s="10"/>
    </row>
    <row r="19" spans="1:16" s="8" customFormat="1" x14ac:dyDescent="0.35">
      <c r="A19" s="13"/>
      <c r="B19" s="599" t="s">
        <v>620</v>
      </c>
      <c r="C19" s="600"/>
      <c r="D19" s="600"/>
      <c r="E19" s="600"/>
      <c r="F19" s="600"/>
      <c r="G19" s="600"/>
      <c r="H19" s="600"/>
      <c r="I19" s="600"/>
      <c r="J19" s="600"/>
      <c r="K19" s="600"/>
      <c r="L19" s="601"/>
      <c r="M19" s="15"/>
      <c r="N19" s="15"/>
      <c r="O19" s="14"/>
      <c r="P19" s="14"/>
    </row>
    <row r="20" spans="1:16" x14ac:dyDescent="0.35">
      <c r="B20" s="24"/>
      <c r="C20" s="25"/>
      <c r="D20" s="26"/>
      <c r="E20" s="26"/>
      <c r="F20" s="26"/>
      <c r="G20" s="26"/>
      <c r="H20" s="26"/>
      <c r="I20" s="26"/>
      <c r="J20" s="26"/>
      <c r="K20" s="26"/>
      <c r="L20" s="27"/>
      <c r="M20" s="2"/>
    </row>
    <row r="21" spans="1:16" x14ac:dyDescent="0.35">
      <c r="B21" s="657" t="s">
        <v>314</v>
      </c>
      <c r="C21" s="658"/>
      <c r="D21" s="658"/>
      <c r="E21" s="658"/>
      <c r="F21" s="658"/>
      <c r="G21" s="661" t="s">
        <v>165</v>
      </c>
      <c r="H21" s="659" t="s">
        <v>399</v>
      </c>
      <c r="I21" s="659"/>
      <c r="J21" s="659"/>
      <c r="K21" s="659"/>
      <c r="L21" s="660"/>
      <c r="M21" s="2"/>
      <c r="O21" s="11"/>
    </row>
    <row r="22" spans="1:16" x14ac:dyDescent="0.35">
      <c r="B22" s="657"/>
      <c r="C22" s="658"/>
      <c r="D22" s="658"/>
      <c r="E22" s="658"/>
      <c r="F22" s="658"/>
      <c r="G22" s="662"/>
      <c r="H22" s="659"/>
      <c r="I22" s="659"/>
      <c r="J22" s="659"/>
      <c r="K22" s="659"/>
      <c r="L22" s="660"/>
      <c r="M22" s="2"/>
      <c r="O22" s="11"/>
    </row>
    <row r="23" spans="1:16" x14ac:dyDescent="0.35">
      <c r="B23" s="175"/>
      <c r="C23" s="176"/>
      <c r="D23" s="176"/>
      <c r="E23" s="176"/>
      <c r="F23" s="176"/>
      <c r="G23" s="176"/>
      <c r="H23" s="176"/>
      <c r="I23" s="176"/>
      <c r="J23" s="176"/>
      <c r="K23" s="176"/>
      <c r="L23" s="177"/>
      <c r="M23" s="2"/>
    </row>
    <row r="24" spans="1:16" s="9" customFormat="1" x14ac:dyDescent="0.35">
      <c r="A24" s="13"/>
      <c r="B24" s="22"/>
      <c r="C24" s="22"/>
      <c r="D24" s="23"/>
      <c r="E24" s="23"/>
      <c r="F24" s="23"/>
      <c r="G24" s="23"/>
      <c r="H24" s="23"/>
      <c r="I24" s="23"/>
      <c r="J24" s="23"/>
      <c r="K24" s="23"/>
      <c r="L24" s="23"/>
      <c r="O24" s="10"/>
      <c r="P24" s="10"/>
    </row>
    <row r="25" spans="1:16" s="8" customFormat="1" x14ac:dyDescent="0.35">
      <c r="A25" s="13"/>
      <c r="B25" s="599" t="str">
        <f>IF(Intro!$G$21="English",O25,P25)</f>
        <v>LA DÉFINITION "DES MARCHANDISES"</v>
      </c>
      <c r="C25" s="600" t="str">
        <f>UPPER(IF(Intro!$G$21="English",P25,Q25))</f>
        <v/>
      </c>
      <c r="D25" s="600" t="str">
        <f>UPPER(IF(Intro!$G$21="English",Q25,R25))</f>
        <v/>
      </c>
      <c r="E25" s="600" t="str">
        <f>UPPER(IF(Intro!$G$21="English",R25,S25))</f>
        <v/>
      </c>
      <c r="F25" s="600"/>
      <c r="G25" s="600" t="str">
        <f>UPPER(IF(Intro!$G$21="English",S25,T25))</f>
        <v/>
      </c>
      <c r="H25" s="600" t="str">
        <f>UPPER(IF(Intro!$G$21="English",T25,U25))</f>
        <v/>
      </c>
      <c r="I25" s="600" t="str">
        <f>UPPER(IF(Intro!$G$21="English",U25,V25))</f>
        <v/>
      </c>
      <c r="J25" s="600" t="str">
        <f>UPPER(IF(Intro!$G$21="English",V25,W25))</f>
        <v/>
      </c>
      <c r="K25" s="600" t="str">
        <f>UPPER(IF(Intro!$G$21="English",W25,X25))</f>
        <v/>
      </c>
      <c r="L25" s="601" t="str">
        <f>UPPER(IF(Intro!$G$21="English",X25,Y25))</f>
        <v/>
      </c>
      <c r="M25" s="9"/>
      <c r="N25" s="15"/>
      <c r="O25" s="14" t="s">
        <v>621</v>
      </c>
      <c r="P25" s="14" t="s">
        <v>622</v>
      </c>
    </row>
    <row r="26" spans="1:16" x14ac:dyDescent="0.35">
      <c r="B26" s="24"/>
      <c r="C26" s="25"/>
      <c r="D26" s="26"/>
      <c r="E26" s="26"/>
      <c r="F26" s="26"/>
      <c r="G26" s="26"/>
      <c r="H26" s="26"/>
      <c r="I26" s="26"/>
      <c r="J26" s="26"/>
      <c r="K26" s="26"/>
      <c r="L26" s="27"/>
      <c r="M26" s="2"/>
    </row>
    <row r="27" spans="1:16" x14ac:dyDescent="0.35">
      <c r="B27" s="602" t="str">
        <f>IF(Intro!$G$21="English",O27,P27)</f>
        <v>Les références aux « marchandises » dans ce questionnaire font référence à :</v>
      </c>
      <c r="C27" s="603"/>
      <c r="D27" s="603"/>
      <c r="E27" s="603"/>
      <c r="F27" s="603"/>
      <c r="G27" s="603"/>
      <c r="H27" s="603"/>
      <c r="I27" s="603"/>
      <c r="J27" s="603"/>
      <c r="K27" s="603"/>
      <c r="L27" s="604"/>
      <c r="M27" s="2"/>
      <c r="O27" s="2" t="s">
        <v>338</v>
      </c>
      <c r="P27" s="2" t="s">
        <v>339</v>
      </c>
    </row>
    <row r="28" spans="1:16" x14ac:dyDescent="0.35">
      <c r="B28" s="602"/>
      <c r="C28" s="603"/>
      <c r="D28" s="603"/>
      <c r="E28" s="603"/>
      <c r="F28" s="603"/>
      <c r="G28" s="603"/>
      <c r="H28" s="603"/>
      <c r="I28" s="603"/>
      <c r="J28" s="603"/>
      <c r="K28" s="603"/>
      <c r="L28" s="604"/>
      <c r="M28" s="2"/>
    </row>
    <row r="29" spans="1:16" x14ac:dyDescent="0.35">
      <c r="B29" s="169"/>
      <c r="C29" s="663" t="str">
        <f>IF(Intro!$G$21="English",Variables!B16,Variables!C16)</f>
        <v>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v>
      </c>
      <c r="D29" s="664"/>
      <c r="E29" s="664"/>
      <c r="F29" s="664"/>
      <c r="G29" s="664"/>
      <c r="H29" s="664"/>
      <c r="I29" s="664"/>
      <c r="J29" s="664"/>
      <c r="K29" s="665"/>
      <c r="L29" s="162"/>
      <c r="M29" s="2"/>
    </row>
    <row r="30" spans="1:16" x14ac:dyDescent="0.35">
      <c r="B30" s="169"/>
      <c r="C30" s="666"/>
      <c r="D30" s="667"/>
      <c r="E30" s="667"/>
      <c r="F30" s="667"/>
      <c r="G30" s="667"/>
      <c r="H30" s="667"/>
      <c r="I30" s="667"/>
      <c r="J30" s="667"/>
      <c r="K30" s="668"/>
      <c r="L30" s="162"/>
      <c r="M30" s="2"/>
    </row>
    <row r="31" spans="1:16" x14ac:dyDescent="0.35">
      <c r="B31" s="169"/>
      <c r="C31" s="666"/>
      <c r="D31" s="667"/>
      <c r="E31" s="667"/>
      <c r="F31" s="667"/>
      <c r="G31" s="667"/>
      <c r="H31" s="667"/>
      <c r="I31" s="667"/>
      <c r="J31" s="667"/>
      <c r="K31" s="668"/>
      <c r="L31" s="162"/>
      <c r="M31" s="2"/>
    </row>
    <row r="32" spans="1:16" x14ac:dyDescent="0.35">
      <c r="B32" s="169"/>
      <c r="C32" s="666"/>
      <c r="D32" s="667"/>
      <c r="E32" s="667"/>
      <c r="F32" s="667"/>
      <c r="G32" s="667"/>
      <c r="H32" s="667"/>
      <c r="I32" s="667"/>
      <c r="J32" s="667"/>
      <c r="K32" s="668"/>
      <c r="L32" s="162"/>
      <c r="M32" s="2"/>
    </row>
    <row r="33" spans="2:13" x14ac:dyDescent="0.35">
      <c r="B33" s="169"/>
      <c r="C33" s="666"/>
      <c r="D33" s="667"/>
      <c r="E33" s="667"/>
      <c r="F33" s="667"/>
      <c r="G33" s="667"/>
      <c r="H33" s="667"/>
      <c r="I33" s="667"/>
      <c r="J33" s="667"/>
      <c r="K33" s="668"/>
      <c r="L33" s="162"/>
      <c r="M33" s="2"/>
    </row>
    <row r="34" spans="2:13" x14ac:dyDescent="0.35">
      <c r="B34" s="169"/>
      <c r="C34" s="666"/>
      <c r="D34" s="667"/>
      <c r="E34" s="667"/>
      <c r="F34" s="667"/>
      <c r="G34" s="667"/>
      <c r="H34" s="667"/>
      <c r="I34" s="667"/>
      <c r="J34" s="667"/>
      <c r="K34" s="668"/>
      <c r="L34" s="162"/>
      <c r="M34" s="2"/>
    </row>
    <row r="35" spans="2:13" x14ac:dyDescent="0.35">
      <c r="B35" s="169"/>
      <c r="C35" s="666"/>
      <c r="D35" s="667"/>
      <c r="E35" s="667"/>
      <c r="F35" s="667"/>
      <c r="G35" s="667"/>
      <c r="H35" s="667"/>
      <c r="I35" s="667"/>
      <c r="J35" s="667"/>
      <c r="K35" s="668"/>
      <c r="L35" s="162"/>
      <c r="M35" s="2"/>
    </row>
    <row r="36" spans="2:13" x14ac:dyDescent="0.35">
      <c r="B36" s="169"/>
      <c r="C36" s="666"/>
      <c r="D36" s="667"/>
      <c r="E36" s="667"/>
      <c r="F36" s="667"/>
      <c r="G36" s="667"/>
      <c r="H36" s="667"/>
      <c r="I36" s="667"/>
      <c r="J36" s="667"/>
      <c r="K36" s="668"/>
      <c r="L36" s="162"/>
      <c r="M36" s="2"/>
    </row>
    <row r="37" spans="2:13" x14ac:dyDescent="0.35">
      <c r="B37" s="169"/>
      <c r="C37" s="666"/>
      <c r="D37" s="667"/>
      <c r="E37" s="667"/>
      <c r="F37" s="667"/>
      <c r="G37" s="667"/>
      <c r="H37" s="667"/>
      <c r="I37" s="667"/>
      <c r="J37" s="667"/>
      <c r="K37" s="668"/>
      <c r="L37" s="162"/>
      <c r="M37" s="2"/>
    </row>
    <row r="38" spans="2:13" x14ac:dyDescent="0.35">
      <c r="B38" s="169"/>
      <c r="C38" s="666"/>
      <c r="D38" s="667"/>
      <c r="E38" s="667"/>
      <c r="F38" s="667"/>
      <c r="G38" s="667"/>
      <c r="H38" s="667"/>
      <c r="I38" s="667"/>
      <c r="J38" s="667"/>
      <c r="K38" s="668"/>
      <c r="L38" s="162"/>
      <c r="M38" s="2"/>
    </row>
    <row r="39" spans="2:13" x14ac:dyDescent="0.35">
      <c r="B39" s="169"/>
      <c r="C39" s="666"/>
      <c r="D39" s="667"/>
      <c r="E39" s="667"/>
      <c r="F39" s="667"/>
      <c r="G39" s="667"/>
      <c r="H39" s="667"/>
      <c r="I39" s="667"/>
      <c r="J39" s="667"/>
      <c r="K39" s="668"/>
      <c r="L39" s="162"/>
      <c r="M39" s="2"/>
    </row>
    <row r="40" spans="2:13" x14ac:dyDescent="0.35">
      <c r="B40" s="169"/>
      <c r="C40" s="666"/>
      <c r="D40" s="667"/>
      <c r="E40" s="667"/>
      <c r="F40" s="667"/>
      <c r="G40" s="667"/>
      <c r="H40" s="667"/>
      <c r="I40" s="667"/>
      <c r="J40" s="667"/>
      <c r="K40" s="668"/>
      <c r="L40" s="162"/>
      <c r="M40" s="2"/>
    </row>
    <row r="41" spans="2:13" x14ac:dyDescent="0.35">
      <c r="B41" s="169"/>
      <c r="C41" s="666"/>
      <c r="D41" s="667"/>
      <c r="E41" s="667"/>
      <c r="F41" s="667"/>
      <c r="G41" s="667"/>
      <c r="H41" s="667"/>
      <c r="I41" s="667"/>
      <c r="J41" s="667"/>
      <c r="K41" s="668"/>
      <c r="L41" s="162"/>
      <c r="M41" s="2"/>
    </row>
    <row r="42" spans="2:13" x14ac:dyDescent="0.35">
      <c r="B42" s="169"/>
      <c r="C42" s="666"/>
      <c r="D42" s="667"/>
      <c r="E42" s="667"/>
      <c r="F42" s="667"/>
      <c r="G42" s="667"/>
      <c r="H42" s="667"/>
      <c r="I42" s="667"/>
      <c r="J42" s="667"/>
      <c r="K42" s="668"/>
      <c r="L42" s="162"/>
      <c r="M42" s="2"/>
    </row>
    <row r="43" spans="2:13" x14ac:dyDescent="0.35">
      <c r="B43" s="169"/>
      <c r="C43" s="666"/>
      <c r="D43" s="667"/>
      <c r="E43" s="667"/>
      <c r="F43" s="667"/>
      <c r="G43" s="667"/>
      <c r="H43" s="667"/>
      <c r="I43" s="667"/>
      <c r="J43" s="667"/>
      <c r="K43" s="668"/>
      <c r="L43" s="162"/>
      <c r="M43" s="2"/>
    </row>
    <row r="44" spans="2:13" x14ac:dyDescent="0.35">
      <c r="B44" s="169"/>
      <c r="C44" s="666"/>
      <c r="D44" s="667"/>
      <c r="E44" s="667"/>
      <c r="F44" s="667"/>
      <c r="G44" s="667"/>
      <c r="H44" s="667"/>
      <c r="I44" s="667"/>
      <c r="J44" s="667"/>
      <c r="K44" s="668"/>
      <c r="L44" s="162"/>
      <c r="M44" s="2"/>
    </row>
    <row r="45" spans="2:13" x14ac:dyDescent="0.35">
      <c r="B45" s="169"/>
      <c r="C45" s="666"/>
      <c r="D45" s="667"/>
      <c r="E45" s="667"/>
      <c r="F45" s="667"/>
      <c r="G45" s="667"/>
      <c r="H45" s="667"/>
      <c r="I45" s="667"/>
      <c r="J45" s="667"/>
      <c r="K45" s="668"/>
      <c r="L45" s="162"/>
      <c r="M45" s="2"/>
    </row>
    <row r="46" spans="2:13" x14ac:dyDescent="0.35">
      <c r="B46" s="169"/>
      <c r="C46" s="666"/>
      <c r="D46" s="667"/>
      <c r="E46" s="667"/>
      <c r="F46" s="667"/>
      <c r="G46" s="667"/>
      <c r="H46" s="667"/>
      <c r="I46" s="667"/>
      <c r="J46" s="667"/>
      <c r="K46" s="668"/>
      <c r="L46" s="162"/>
      <c r="M46" s="2"/>
    </row>
    <row r="47" spans="2:13" x14ac:dyDescent="0.35">
      <c r="B47" s="169"/>
      <c r="C47" s="666"/>
      <c r="D47" s="667"/>
      <c r="E47" s="667"/>
      <c r="F47" s="667"/>
      <c r="G47" s="667"/>
      <c r="H47" s="667"/>
      <c r="I47" s="667"/>
      <c r="J47" s="667"/>
      <c r="K47" s="668"/>
      <c r="L47" s="162"/>
      <c r="M47" s="2"/>
    </row>
    <row r="48" spans="2:13" x14ac:dyDescent="0.35">
      <c r="B48" s="169"/>
      <c r="C48" s="666"/>
      <c r="D48" s="667"/>
      <c r="E48" s="667"/>
      <c r="F48" s="667"/>
      <c r="G48" s="667"/>
      <c r="H48" s="667"/>
      <c r="I48" s="667"/>
      <c r="J48" s="667"/>
      <c r="K48" s="668"/>
      <c r="L48" s="162"/>
      <c r="M48" s="2"/>
    </row>
    <row r="49" spans="1:16" x14ac:dyDescent="0.35">
      <c r="B49" s="169"/>
      <c r="C49" s="666"/>
      <c r="D49" s="667"/>
      <c r="E49" s="667"/>
      <c r="F49" s="667"/>
      <c r="G49" s="667"/>
      <c r="H49" s="667"/>
      <c r="I49" s="667"/>
      <c r="J49" s="667"/>
      <c r="K49" s="668"/>
      <c r="L49" s="162"/>
      <c r="M49" s="2"/>
    </row>
    <row r="50" spans="1:16" x14ac:dyDescent="0.35">
      <c r="B50" s="169"/>
      <c r="C50" s="666"/>
      <c r="D50" s="667"/>
      <c r="E50" s="667"/>
      <c r="F50" s="667"/>
      <c r="G50" s="667"/>
      <c r="H50" s="667"/>
      <c r="I50" s="667"/>
      <c r="J50" s="667"/>
      <c r="K50" s="668"/>
      <c r="L50" s="162"/>
      <c r="M50" s="2"/>
    </row>
    <row r="51" spans="1:16" x14ac:dyDescent="0.35">
      <c r="B51" s="169"/>
      <c r="C51" s="666"/>
      <c r="D51" s="667"/>
      <c r="E51" s="667"/>
      <c r="F51" s="667"/>
      <c r="G51" s="667"/>
      <c r="H51" s="667"/>
      <c r="I51" s="667"/>
      <c r="J51" s="667"/>
      <c r="K51" s="668"/>
      <c r="L51" s="162"/>
      <c r="M51" s="2"/>
    </row>
    <row r="52" spans="1:16" x14ac:dyDescent="0.35">
      <c r="B52" s="169"/>
      <c r="C52" s="669"/>
      <c r="D52" s="670"/>
      <c r="E52" s="670"/>
      <c r="F52" s="670"/>
      <c r="G52" s="670"/>
      <c r="H52" s="670"/>
      <c r="I52" s="670"/>
      <c r="J52" s="670"/>
      <c r="K52" s="671"/>
      <c r="L52" s="162"/>
      <c r="M52" s="2"/>
    </row>
    <row r="53" spans="1:16" x14ac:dyDescent="0.35">
      <c r="B53" s="602"/>
      <c r="C53" s="603"/>
      <c r="D53" s="603"/>
      <c r="E53" s="603"/>
      <c r="F53" s="603"/>
      <c r="G53" s="603"/>
      <c r="H53" s="603"/>
      <c r="I53" s="603"/>
      <c r="J53" s="603"/>
      <c r="K53" s="603"/>
      <c r="L53" s="604"/>
      <c r="M53" s="2"/>
    </row>
    <row r="54" spans="1:16" ht="14.15" customHeight="1" x14ac:dyDescent="0.35">
      <c r="B54" s="608" t="str">
        <f>IF(Intro!$G$21="English",O54,P54)</f>
        <v>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v>
      </c>
      <c r="C54" s="609"/>
      <c r="D54" s="609"/>
      <c r="E54" s="609"/>
      <c r="F54" s="609"/>
      <c r="G54" s="609"/>
      <c r="H54" s="609"/>
      <c r="I54" s="609"/>
      <c r="J54" s="609"/>
      <c r="K54" s="609"/>
      <c r="L54" s="610"/>
      <c r="M54" s="2"/>
      <c r="O54" s="2" t="s">
        <v>847</v>
      </c>
      <c r="P54" s="2" t="s">
        <v>848</v>
      </c>
    </row>
    <row r="55" spans="1:16" x14ac:dyDescent="0.35">
      <c r="B55" s="608"/>
      <c r="C55" s="609"/>
      <c r="D55" s="609"/>
      <c r="E55" s="609"/>
      <c r="F55" s="609"/>
      <c r="G55" s="609"/>
      <c r="H55" s="609"/>
      <c r="I55" s="609"/>
      <c r="J55" s="609"/>
      <c r="K55" s="609"/>
      <c r="L55" s="610"/>
      <c r="M55" s="2"/>
    </row>
    <row r="56" spans="1:16" ht="14.5" x14ac:dyDescent="0.35">
      <c r="B56" s="235" t="s">
        <v>843</v>
      </c>
      <c r="C56" s="655" t="str">
        <f>HYPERLINK(Variables!B17)</f>
        <v>https://www.cbsa-asfc.gc.ca/sima-lmsi/i-e/ubc2026/ubc2026-in-eng.html#3-2</v>
      </c>
      <c r="D56" s="655"/>
      <c r="E56" s="655"/>
      <c r="F56" s="655"/>
      <c r="G56" s="655"/>
      <c r="H56" s="2"/>
      <c r="I56" s="11"/>
      <c r="J56" s="11"/>
      <c r="K56" s="11"/>
      <c r="L56" s="278"/>
      <c r="M56" s="2"/>
    </row>
    <row r="57" spans="1:16" ht="14.5" x14ac:dyDescent="0.35">
      <c r="B57" s="235" t="s">
        <v>844</v>
      </c>
      <c r="C57" s="656" t="str">
        <f>HYPERLINK(Variables!C17)</f>
        <v>https://www.cbsa-asfc.gc.ca/sima-lmsi/i-e/ubc2026/ubc2026-in-fra.html#3-2</v>
      </c>
      <c r="D57" s="656"/>
      <c r="E57" s="656"/>
      <c r="F57" s="656"/>
      <c r="G57" s="656"/>
      <c r="H57" s="160"/>
      <c r="I57" s="160"/>
      <c r="J57" s="160"/>
      <c r="K57" s="160"/>
      <c r="L57" s="161"/>
      <c r="M57" s="2"/>
    </row>
    <row r="58" spans="1:16" x14ac:dyDescent="0.35">
      <c r="B58" s="175"/>
      <c r="C58" s="176"/>
      <c r="D58" s="176"/>
      <c r="E58" s="176"/>
      <c r="F58" s="176"/>
      <c r="G58" s="176"/>
      <c r="H58" s="176"/>
      <c r="I58" s="176"/>
      <c r="J58" s="176"/>
      <c r="K58" s="176"/>
      <c r="L58" s="177"/>
      <c r="M58" s="2"/>
    </row>
    <row r="59" spans="1:16" s="9" customFormat="1" x14ac:dyDescent="0.35">
      <c r="A59" s="13"/>
      <c r="B59" s="22"/>
      <c r="C59" s="22"/>
      <c r="D59" s="23"/>
      <c r="E59" s="23"/>
      <c r="F59" s="23"/>
      <c r="G59" s="23"/>
      <c r="H59" s="23"/>
      <c r="I59" s="23"/>
      <c r="J59" s="23"/>
      <c r="K59" s="23"/>
      <c r="L59" s="23"/>
      <c r="O59" s="10"/>
      <c r="P59" s="10"/>
    </row>
    <row r="60" spans="1:16" s="8" customFormat="1" x14ac:dyDescent="0.35">
      <c r="A60" s="13"/>
      <c r="B60" s="599" t="str">
        <f>IF(Intro!$G$21="English",O60,P60)</f>
        <v>DEVEZ-VOUS REMPLIR CE QUESTIONNAIRE?</v>
      </c>
      <c r="C60" s="600"/>
      <c r="D60" s="600"/>
      <c r="E60" s="600"/>
      <c r="F60" s="600"/>
      <c r="G60" s="600"/>
      <c r="H60" s="600"/>
      <c r="I60" s="600"/>
      <c r="J60" s="600"/>
      <c r="K60" s="600"/>
      <c r="L60" s="601"/>
      <c r="M60" s="15"/>
      <c r="N60" s="15"/>
      <c r="O60" s="1" t="s">
        <v>623</v>
      </c>
      <c r="P60" s="1" t="s">
        <v>681</v>
      </c>
    </row>
    <row r="61" spans="1:16" x14ac:dyDescent="0.35">
      <c r="B61" s="24"/>
      <c r="C61" s="25"/>
      <c r="D61" s="26"/>
      <c r="E61" s="26"/>
      <c r="F61" s="26"/>
      <c r="G61" s="26"/>
      <c r="H61" s="26"/>
      <c r="I61" s="26"/>
      <c r="J61" s="26"/>
      <c r="K61" s="26"/>
      <c r="L61" s="27"/>
      <c r="M61" s="2"/>
    </row>
    <row r="62" spans="1:16" x14ac:dyDescent="0.35">
      <c r="B62" s="602" t="str">
        <f>IF(Intro!$G$21="English",O62,P62)</f>
        <v>Précisez les activités de votre entreprise relatives aux marchandises définies ci-dessus, du 1er janvier 2023 au 31 mars :</v>
      </c>
      <c r="C62" s="603"/>
      <c r="D62" s="603"/>
      <c r="E62" s="603"/>
      <c r="F62" s="603"/>
      <c r="G62" s="603"/>
      <c r="H62" s="603"/>
      <c r="I62" s="603"/>
      <c r="J62" s="603"/>
      <c r="K62" s="603"/>
      <c r="L62" s="604"/>
      <c r="M62" s="2"/>
      <c r="O62" s="2" t="str">
        <f>"Specify your firm’s activities with respect to the goods defined above from January 1, "&amp;Variables!B6&amp;" to "&amp;TEXT(Variables!B7,"MMMM, DD, YYYY")&amp;":"</f>
        <v>Specify your firm’s activities with respect to the goods defined above from January 1, 2023 to March, 31, 2026:</v>
      </c>
      <c r="P62" s="2" t="str">
        <f>"Précisez les activités de votre entreprise relatives aux marchandises définies ci-dessus, du 1er janvier "&amp;Variables!C6&amp;" au "&amp;Variables!C7&amp;" :"</f>
        <v>Précisez les activités de votre entreprise relatives aux marchandises définies ci-dessus, du 1er janvier 2023 au 31 mars :</v>
      </c>
    </row>
    <row r="63" spans="1:16" x14ac:dyDescent="0.35">
      <c r="B63" s="169"/>
      <c r="C63" s="170"/>
      <c r="D63" s="170"/>
      <c r="E63" s="170"/>
      <c r="F63" s="170"/>
      <c r="G63" s="170"/>
      <c r="H63" s="170"/>
      <c r="I63" s="170"/>
      <c r="J63" s="170"/>
      <c r="K63" s="170"/>
      <c r="L63" s="171"/>
      <c r="M63" s="2"/>
    </row>
    <row r="64" spans="1:16" x14ac:dyDescent="0.35">
      <c r="B64" s="169"/>
      <c r="C64" s="170"/>
      <c r="D64" s="672" t="str">
        <f>IF(Intro!$G$21="English",O64,P64)</f>
        <v>Sélectionnez oui ou non</v>
      </c>
      <c r="E64" s="672"/>
      <c r="F64" s="673" t="s">
        <v>624</v>
      </c>
      <c r="G64" s="673"/>
      <c r="H64" s="673"/>
      <c r="I64" s="673"/>
      <c r="J64" s="673"/>
      <c r="K64" s="673"/>
      <c r="L64" s="674"/>
      <c r="M64" s="2"/>
      <c r="O64" s="2" t="s">
        <v>360</v>
      </c>
      <c r="P64" s="2" t="s">
        <v>666</v>
      </c>
    </row>
    <row r="65" spans="2:16" x14ac:dyDescent="0.35">
      <c r="B65" s="628" t="str">
        <f>IF(Intro!$G$21="English",O65,P65)</f>
        <v>Produit les marchandises</v>
      </c>
      <c r="C65" s="629"/>
      <c r="D65" s="646"/>
      <c r="E65" s="646"/>
      <c r="F65" s="647" t="str">
        <f>IF(D65="Yes",O66,IF(D65="Oui",P66,IF(D65="No",O67,IF(D65="Non",P67,""))))</f>
        <v/>
      </c>
      <c r="G65" s="647"/>
      <c r="H65" s="647"/>
      <c r="I65" s="647"/>
      <c r="J65" s="647"/>
      <c r="K65" s="647"/>
      <c r="L65" s="648"/>
      <c r="M65" s="2"/>
      <c r="O65" s="11" t="s">
        <v>575</v>
      </c>
      <c r="P65" s="2" t="s">
        <v>576</v>
      </c>
    </row>
    <row r="66" spans="2:16" x14ac:dyDescent="0.35">
      <c r="B66" s="628"/>
      <c r="C66" s="629"/>
      <c r="D66" s="646"/>
      <c r="E66" s="646"/>
      <c r="F66" s="647"/>
      <c r="G66" s="647"/>
      <c r="H66" s="647"/>
      <c r="I66" s="647"/>
      <c r="J66" s="647"/>
      <c r="K66" s="647"/>
      <c r="L66" s="648"/>
      <c r="M66" s="2"/>
      <c r="O66" s="2" t="str">
        <f>"Complete all tabs in this questionnaire and submit it by "&amp;Variables!B11&amp;"."</f>
        <v>Complete all tabs in this questionnaire and submit it by August 20, 2026.</v>
      </c>
      <c r="P66" s="2" t="str">
        <f>"Remplissez tous les onglets de ce questionnaire et soumettez-le avant le "&amp;Variables!C11&amp;"."</f>
        <v>Remplissez tous les onglets de ce questionnaire et soumettez-le avant le 20 août 2026.</v>
      </c>
    </row>
    <row r="67" spans="2:16" x14ac:dyDescent="0.35">
      <c r="B67" s="628" t="str">
        <f>IF(Intro!$G$21="English",O68,P68)</f>
        <v>Importe les marchandises de n’importe quel pays en tant qu’importateur officiel</v>
      </c>
      <c r="C67" s="629"/>
      <c r="D67" s="646"/>
      <c r="E67" s="646"/>
      <c r="F67" s="647" t="str">
        <f>IF(D67="Yes",O69,IF(D67="Oui",P69,IF(D67="No",O70,IF(D67="Non",P70,""))))</f>
        <v/>
      </c>
      <c r="G67" s="647"/>
      <c r="H67" s="647"/>
      <c r="I67" s="647"/>
      <c r="J67" s="647"/>
      <c r="K67" s="647"/>
      <c r="L67" s="648"/>
      <c r="M67" s="2"/>
      <c r="O67" s="2" t="str">
        <f>"Explain below. Complete this tab only and submit it by "&amp;Variables!B11&amp;"."</f>
        <v>Explain below. Complete this tab only and submit it by August 20, 2026.</v>
      </c>
      <c r="P67" s="2" t="str">
        <f>"Expliquez ci-dessous. Remplissez uniquement cet onglet et soumettez-le avant le "&amp;Variables!C11&amp;"."</f>
        <v>Expliquez ci-dessous. Remplissez uniquement cet onglet et soumettez-le avant le 20 août 2026.</v>
      </c>
    </row>
    <row r="68" spans="2:16" x14ac:dyDescent="0.35">
      <c r="B68" s="628"/>
      <c r="C68" s="629"/>
      <c r="D68" s="646"/>
      <c r="E68" s="646"/>
      <c r="F68" s="647"/>
      <c r="G68" s="647"/>
      <c r="H68" s="647"/>
      <c r="I68" s="647"/>
      <c r="J68" s="647"/>
      <c r="K68" s="647"/>
      <c r="L68" s="648"/>
      <c r="M68" s="2"/>
      <c r="O68" s="11" t="s">
        <v>577</v>
      </c>
      <c r="P68" s="2" t="s">
        <v>691</v>
      </c>
    </row>
    <row r="69" spans="2:16" x14ac:dyDescent="0.35">
      <c r="B69" s="628"/>
      <c r="C69" s="629"/>
      <c r="D69" s="646"/>
      <c r="E69" s="646"/>
      <c r="F69" s="647"/>
      <c r="G69" s="647"/>
      <c r="H69" s="647"/>
      <c r="I69" s="647"/>
      <c r="J69" s="647"/>
      <c r="K69" s="647"/>
      <c r="L69" s="648"/>
      <c r="M69" s="2"/>
      <c r="O69" s="2" t="str">
        <f>"Complete an Importer Questionnaire, which can be found on the Tribunal website, and submit it by "&amp;Variables!B11&amp;". If completing both an Importer questionnaire and a Producer questionnaire, it is not necessary to respond twice to questions that are repeated in both questionnaires."</f>
        <v>Complete an Importer Questionnaire, which can be found on the Tribunal website, and submit it by August 20, 2026. If completing both an Importer questionnaire and a Producer questionnaire, it is not necessary to respond twice to questions that are repeated in both questionnaires.</v>
      </c>
      <c r="P69" s="2" t="str">
        <f>"Remplissez un questionnaire à l’intention des importateurs, disponible sur le site web du Tribunal, et soumettez-le avant le "&amp;Variables!C11&amp;". Si vous remplissez à la fois un questionnaire à l'intention des importateurs et un autre à l'intention des producteurs, il n’est pas nécessaire de répondre deux fois aux questions qui se répètent dans les deux questionnaires."</f>
        <v>Remplissez un questionnaire à l’intention des importateurs, disponible sur le site web du Tribunal, et soumettez-le avant le 20 août 2026. Si vous remplissez à la fois un questionnaire à l'intention des importateurs et un autre à l'intention des producteurs, il n’est pas nécessaire de répondre deux fois aux questions qui se répètent dans les deux questionnaires.</v>
      </c>
    </row>
    <row r="70" spans="2:16" x14ac:dyDescent="0.35">
      <c r="B70" s="628"/>
      <c r="C70" s="629"/>
      <c r="D70" s="646"/>
      <c r="E70" s="646"/>
      <c r="F70" s="647"/>
      <c r="G70" s="647"/>
      <c r="H70" s="647"/>
      <c r="I70" s="647"/>
      <c r="J70" s="647"/>
      <c r="K70" s="647"/>
      <c r="L70" s="648"/>
      <c r="M70" s="2"/>
      <c r="O70" s="2" t="s">
        <v>625</v>
      </c>
      <c r="P70" s="2" t="s">
        <v>625</v>
      </c>
    </row>
    <row r="71" spans="2:16" x14ac:dyDescent="0.35">
      <c r="B71" s="24"/>
      <c r="C71" s="25"/>
      <c r="D71" s="26"/>
      <c r="E71" s="26"/>
      <c r="F71" s="26"/>
      <c r="G71" s="26"/>
      <c r="H71" s="26"/>
      <c r="I71" s="26"/>
      <c r="J71" s="26"/>
      <c r="K71" s="26"/>
      <c r="L71" s="27"/>
      <c r="M71" s="2"/>
    </row>
    <row r="72" spans="2:16" x14ac:dyDescent="0.35">
      <c r="B72" s="608" t="str">
        <f>IF(Intro!$G$21="English",O73,P73)</f>
        <v>Si non, expliquez.</v>
      </c>
      <c r="C72" s="609"/>
      <c r="D72" s="609"/>
      <c r="E72" s="609"/>
      <c r="F72" s="609"/>
      <c r="G72" s="609"/>
      <c r="H72" s="609"/>
      <c r="I72" s="609"/>
      <c r="J72" s="609"/>
      <c r="K72" s="609"/>
      <c r="L72" s="610"/>
      <c r="M72" s="2"/>
    </row>
    <row r="73" spans="2:16" x14ac:dyDescent="0.35">
      <c r="B73" s="24"/>
      <c r="C73" s="25"/>
      <c r="D73" s="26"/>
      <c r="E73" s="26"/>
      <c r="F73" s="26"/>
      <c r="G73" s="26"/>
      <c r="H73" s="26"/>
      <c r="I73" s="26"/>
      <c r="J73" s="26"/>
      <c r="K73" s="26"/>
      <c r="L73" s="27"/>
      <c r="M73" s="2"/>
      <c r="O73" s="11" t="s">
        <v>573</v>
      </c>
      <c r="P73" s="2" t="s">
        <v>574</v>
      </c>
    </row>
    <row r="74" spans="2:16" x14ac:dyDescent="0.35">
      <c r="B74" s="643"/>
      <c r="C74" s="644"/>
      <c r="D74" s="644"/>
      <c r="E74" s="644"/>
      <c r="F74" s="644"/>
      <c r="G74" s="644"/>
      <c r="H74" s="644"/>
      <c r="I74" s="644"/>
      <c r="J74" s="644"/>
      <c r="K74" s="644"/>
      <c r="L74" s="645"/>
      <c r="M74" s="2"/>
    </row>
    <row r="75" spans="2:16" x14ac:dyDescent="0.35">
      <c r="B75" s="643"/>
      <c r="C75" s="644"/>
      <c r="D75" s="644"/>
      <c r="E75" s="644"/>
      <c r="F75" s="644"/>
      <c r="G75" s="644"/>
      <c r="H75" s="644"/>
      <c r="I75" s="644"/>
      <c r="J75" s="644"/>
      <c r="K75" s="644"/>
      <c r="L75" s="645"/>
      <c r="M75" s="2"/>
    </row>
    <row r="76" spans="2:16" x14ac:dyDescent="0.35">
      <c r="B76" s="643"/>
      <c r="C76" s="644"/>
      <c r="D76" s="644"/>
      <c r="E76" s="644"/>
      <c r="F76" s="644"/>
      <c r="G76" s="644"/>
      <c r="H76" s="644"/>
      <c r="I76" s="644"/>
      <c r="J76" s="644"/>
      <c r="K76" s="644"/>
      <c r="L76" s="645"/>
      <c r="M76" s="2"/>
    </row>
    <row r="77" spans="2:16" x14ac:dyDescent="0.35">
      <c r="B77" s="643"/>
      <c r="C77" s="644"/>
      <c r="D77" s="644"/>
      <c r="E77" s="644"/>
      <c r="F77" s="644"/>
      <c r="G77" s="644"/>
      <c r="H77" s="644"/>
      <c r="I77" s="644"/>
      <c r="J77" s="644"/>
      <c r="K77" s="644"/>
      <c r="L77" s="645"/>
      <c r="M77" s="2"/>
    </row>
    <row r="78" spans="2:16" x14ac:dyDescent="0.35">
      <c r="B78" s="643"/>
      <c r="C78" s="644"/>
      <c r="D78" s="644"/>
      <c r="E78" s="644"/>
      <c r="F78" s="644"/>
      <c r="G78" s="644"/>
      <c r="H78" s="644"/>
      <c r="I78" s="644"/>
      <c r="J78" s="644"/>
      <c r="K78" s="644"/>
      <c r="L78" s="645"/>
      <c r="M78" s="2"/>
    </row>
    <row r="79" spans="2:16" x14ac:dyDescent="0.35">
      <c r="B79" s="643"/>
      <c r="C79" s="644"/>
      <c r="D79" s="644"/>
      <c r="E79" s="644"/>
      <c r="F79" s="644"/>
      <c r="G79" s="644"/>
      <c r="H79" s="644"/>
      <c r="I79" s="644"/>
      <c r="J79" s="644"/>
      <c r="K79" s="644"/>
      <c r="L79" s="645"/>
      <c r="M79" s="2"/>
    </row>
    <row r="80" spans="2:16" x14ac:dyDescent="0.35">
      <c r="B80" s="643"/>
      <c r="C80" s="644"/>
      <c r="D80" s="644"/>
      <c r="E80" s="644"/>
      <c r="F80" s="644"/>
      <c r="G80" s="644"/>
      <c r="H80" s="644"/>
      <c r="I80" s="644"/>
      <c r="J80" s="644"/>
      <c r="K80" s="644"/>
      <c r="L80" s="645"/>
      <c r="M80" s="2"/>
    </row>
    <row r="81" spans="1:16" x14ac:dyDescent="0.35">
      <c r="B81" s="643"/>
      <c r="C81" s="644"/>
      <c r="D81" s="644"/>
      <c r="E81" s="644"/>
      <c r="F81" s="644"/>
      <c r="G81" s="644"/>
      <c r="H81" s="644"/>
      <c r="I81" s="644"/>
      <c r="J81" s="644"/>
      <c r="K81" s="644"/>
      <c r="L81" s="645"/>
      <c r="M81" s="2"/>
    </row>
    <row r="82" spans="1:16" x14ac:dyDescent="0.35">
      <c r="B82" s="175"/>
      <c r="C82" s="176"/>
      <c r="D82" s="176"/>
      <c r="E82" s="176"/>
      <c r="F82" s="176"/>
      <c r="G82" s="176"/>
      <c r="H82" s="176"/>
      <c r="I82" s="176"/>
      <c r="J82" s="176"/>
      <c r="K82" s="176"/>
      <c r="L82" s="177"/>
      <c r="M82" s="2"/>
    </row>
    <row r="83" spans="1:16" s="9" customFormat="1" x14ac:dyDescent="0.35">
      <c r="A83" s="13"/>
      <c r="B83" s="22"/>
      <c r="C83" s="22"/>
      <c r="D83" s="23"/>
      <c r="E83" s="23"/>
      <c r="F83" s="23"/>
      <c r="G83" s="23"/>
      <c r="H83" s="23"/>
      <c r="I83" s="23"/>
      <c r="J83" s="23"/>
      <c r="K83" s="23"/>
      <c r="L83" s="23"/>
      <c r="O83" s="10"/>
      <c r="P83" s="10"/>
    </row>
    <row r="84" spans="1:16" s="8" customFormat="1" x14ac:dyDescent="0.35">
      <c r="A84" s="13"/>
      <c r="B84" s="599" t="str">
        <f>IF(Intro!$G$21="English",O84,P84)</f>
        <v>DATE D’ÉCHÉANCE DU QUESTIONNAIRE</v>
      </c>
      <c r="C84" s="600" t="str">
        <f>UPPER(IF(Intro!$G$21="English",P84,Q84))</f>
        <v/>
      </c>
      <c r="D84" s="600" t="str">
        <f>UPPER(IF(Intro!$G$21="English",Q84,R84))</f>
        <v/>
      </c>
      <c r="E84" s="600" t="str">
        <f>UPPER(IF(Intro!$G$21="English",R84,S84))</f>
        <v/>
      </c>
      <c r="F84" s="600"/>
      <c r="G84" s="600" t="str">
        <f>UPPER(IF(Intro!$G$21="English",S84,T84))</f>
        <v/>
      </c>
      <c r="H84" s="600" t="str">
        <f>UPPER(IF(Intro!$G$21="English",T84,U84))</f>
        <v/>
      </c>
      <c r="I84" s="600" t="str">
        <f>UPPER(IF(Intro!$G$21="English",U84,V84))</f>
        <v/>
      </c>
      <c r="J84" s="600" t="str">
        <f>UPPER(IF(Intro!$G$21="English",V84,W84))</f>
        <v/>
      </c>
      <c r="K84" s="600" t="str">
        <f>UPPER(IF(Intro!$G$21="English",W84,X84))</f>
        <v/>
      </c>
      <c r="L84" s="601" t="str">
        <f>UPPER(IF(Intro!$G$21="English",X84,Y84))</f>
        <v/>
      </c>
      <c r="M84" s="9"/>
      <c r="N84" s="15"/>
      <c r="O84" s="14" t="s">
        <v>1</v>
      </c>
      <c r="P84" s="14" t="s">
        <v>395</v>
      </c>
    </row>
    <row r="85" spans="1:16" x14ac:dyDescent="0.35">
      <c r="B85" s="24"/>
      <c r="C85" s="25"/>
      <c r="D85" s="26"/>
      <c r="E85" s="26"/>
      <c r="F85" s="26"/>
      <c r="G85" s="26"/>
      <c r="H85" s="26"/>
      <c r="I85" s="26"/>
      <c r="J85" s="26"/>
      <c r="K85" s="26"/>
      <c r="L85" s="27"/>
      <c r="M85" s="2"/>
    </row>
    <row r="86" spans="1:16" x14ac:dyDescent="0.35">
      <c r="B86" s="169"/>
      <c r="C86" s="2"/>
      <c r="D86" s="649" t="str">
        <f>IF(Intro!$G$21="English",Variables!B11,Variables!C11)</f>
        <v>20 août 2026</v>
      </c>
      <c r="E86" s="650"/>
      <c r="F86" s="650"/>
      <c r="G86" s="650"/>
      <c r="H86" s="650"/>
      <c r="I86" s="650"/>
      <c r="J86" s="651"/>
      <c r="K86" s="26"/>
      <c r="L86" s="178"/>
      <c r="M86" s="2"/>
      <c r="O86" s="153"/>
      <c r="P86" s="153"/>
    </row>
    <row r="87" spans="1:16" x14ac:dyDescent="0.35">
      <c r="B87" s="169"/>
      <c r="C87" s="2"/>
      <c r="D87" s="652"/>
      <c r="E87" s="653"/>
      <c r="F87" s="653"/>
      <c r="G87" s="653"/>
      <c r="H87" s="653"/>
      <c r="I87" s="653"/>
      <c r="J87" s="654"/>
      <c r="K87" s="26"/>
      <c r="L87" s="178"/>
      <c r="M87" s="2"/>
      <c r="O87" s="153"/>
      <c r="P87" s="153"/>
    </row>
    <row r="88" spans="1:16" x14ac:dyDescent="0.35">
      <c r="B88" s="175"/>
      <c r="C88" s="176"/>
      <c r="D88" s="176"/>
      <c r="E88" s="176"/>
      <c r="F88" s="176"/>
      <c r="G88" s="176"/>
      <c r="H88" s="176"/>
      <c r="I88" s="176"/>
      <c r="J88" s="176"/>
      <c r="K88" s="176"/>
      <c r="L88" s="177"/>
      <c r="M88" s="2"/>
    </row>
    <row r="89" spans="1:16" s="9" customFormat="1" x14ac:dyDescent="0.35">
      <c r="A89" s="13"/>
      <c r="B89" s="22"/>
      <c r="C89" s="22"/>
      <c r="D89" s="23"/>
      <c r="E89" s="23"/>
      <c r="F89" s="23"/>
      <c r="G89" s="23"/>
      <c r="H89" s="23"/>
      <c r="I89" s="23"/>
      <c r="J89" s="23"/>
      <c r="K89" s="23"/>
      <c r="L89" s="23"/>
      <c r="O89" s="10"/>
      <c r="P89" s="10"/>
    </row>
    <row r="90" spans="1:16" s="8" customFormat="1" x14ac:dyDescent="0.35">
      <c r="A90" s="13"/>
      <c r="B90" s="599" t="str">
        <f>IF(Intro!$G$21="English",O90,P90)</f>
        <v>QUESTIONNAIRE NON REMPLI</v>
      </c>
      <c r="C90" s="600" t="str">
        <f>UPPER(IF(Intro!$G$21="English",P90,Q90))</f>
        <v/>
      </c>
      <c r="D90" s="600" t="str">
        <f>UPPER(IF(Intro!$G$21="English",Q90,R90))</f>
        <v/>
      </c>
      <c r="E90" s="600" t="str">
        <f>UPPER(IF(Intro!$G$21="English",R90,S90))</f>
        <v/>
      </c>
      <c r="F90" s="600"/>
      <c r="G90" s="600" t="str">
        <f>UPPER(IF(Intro!$G$21="English",S90,T90))</f>
        <v/>
      </c>
      <c r="H90" s="600" t="str">
        <f>UPPER(IF(Intro!$G$21="English",T90,U90))</f>
        <v/>
      </c>
      <c r="I90" s="600" t="str">
        <f>UPPER(IF(Intro!$G$21="English",U90,V90))</f>
        <v/>
      </c>
      <c r="J90" s="600" t="str">
        <f>UPPER(IF(Intro!$G$21="English",V90,W90))</f>
        <v/>
      </c>
      <c r="K90" s="600" t="str">
        <f>UPPER(IF(Intro!$G$21="English",W90,X90))</f>
        <v/>
      </c>
      <c r="L90" s="601" t="str">
        <f>UPPER(IF(Intro!$G$21="English",X90,Y90))</f>
        <v/>
      </c>
      <c r="M90" s="9"/>
      <c r="N90" s="15"/>
      <c r="O90" s="14" t="s">
        <v>626</v>
      </c>
      <c r="P90" s="14" t="s">
        <v>627</v>
      </c>
    </row>
    <row r="91" spans="1:16" x14ac:dyDescent="0.35">
      <c r="B91" s="24"/>
      <c r="C91" s="25"/>
      <c r="D91" s="26"/>
      <c r="E91" s="26"/>
      <c r="F91" s="26"/>
      <c r="G91" s="26"/>
      <c r="H91" s="26"/>
      <c r="I91" s="26"/>
      <c r="J91" s="26"/>
      <c r="K91" s="26"/>
      <c r="L91" s="27"/>
      <c r="M91" s="2"/>
    </row>
    <row r="92" spans="1:16" x14ac:dyDescent="0.35">
      <c r="B92" s="602" t="str">
        <f>IF(Intro!$G$21="English",O92,P92)</f>
        <v>Si le questionnaire n’est pas rempli dans les délais impartis, le Tribunal peut rendre une ordonnance de production, aux termes de l’article  17 de la Loi sur le Tribunal canadien du commerce extérieur, afin d’exiger la production d’une réponse au questionnaire.</v>
      </c>
      <c r="C92" s="603"/>
      <c r="D92" s="603"/>
      <c r="E92" s="603"/>
      <c r="F92" s="603"/>
      <c r="G92" s="603"/>
      <c r="H92" s="603"/>
      <c r="I92" s="603"/>
      <c r="J92" s="603"/>
      <c r="K92" s="603"/>
      <c r="L92" s="604"/>
      <c r="M92" s="2"/>
      <c r="O92" s="2" t="s">
        <v>316</v>
      </c>
      <c r="P92" s="2" t="s">
        <v>398</v>
      </c>
    </row>
    <row r="93" spans="1:16" x14ac:dyDescent="0.35">
      <c r="B93" s="602"/>
      <c r="C93" s="603"/>
      <c r="D93" s="603"/>
      <c r="E93" s="603"/>
      <c r="F93" s="603"/>
      <c r="G93" s="603"/>
      <c r="H93" s="603"/>
      <c r="I93" s="603"/>
      <c r="J93" s="603"/>
      <c r="K93" s="603"/>
      <c r="L93" s="604"/>
      <c r="M93" s="2"/>
    </row>
    <row r="94" spans="1:16" x14ac:dyDescent="0.35">
      <c r="B94" s="175"/>
      <c r="C94" s="176"/>
      <c r="D94" s="176"/>
      <c r="E94" s="176"/>
      <c r="F94" s="176"/>
      <c r="G94" s="176"/>
      <c r="H94" s="176"/>
      <c r="I94" s="176"/>
      <c r="J94" s="176"/>
      <c r="K94" s="176"/>
      <c r="L94" s="177"/>
      <c r="M94" s="2"/>
    </row>
    <row r="95" spans="1:16" s="9" customFormat="1" x14ac:dyDescent="0.35">
      <c r="A95" s="13"/>
      <c r="B95" s="22"/>
      <c r="C95" s="22"/>
      <c r="D95" s="23"/>
      <c r="E95" s="23"/>
      <c r="F95" s="23"/>
      <c r="G95" s="23"/>
      <c r="H95" s="23"/>
      <c r="I95" s="23"/>
      <c r="J95" s="23"/>
      <c r="K95" s="23"/>
      <c r="L95" s="23"/>
      <c r="O95" s="10"/>
      <c r="P95" s="10"/>
    </row>
    <row r="96" spans="1:16" x14ac:dyDescent="0.35">
      <c r="B96" s="599" t="str">
        <f>IF(Intro!$G$21="English",O96,P96)</f>
        <v>RENSEIGNEMENTS SUR L’ENTREPRISE</v>
      </c>
      <c r="C96" s="600"/>
      <c r="D96" s="600"/>
      <c r="E96" s="600"/>
      <c r="F96" s="600"/>
      <c r="G96" s="600"/>
      <c r="H96" s="600"/>
      <c r="I96" s="600"/>
      <c r="J96" s="600"/>
      <c r="K96" s="600"/>
      <c r="L96" s="601"/>
      <c r="M96" s="2"/>
      <c r="O96" s="2" t="s">
        <v>5</v>
      </c>
      <c r="P96" s="2" t="s">
        <v>6</v>
      </c>
    </row>
    <row r="97" spans="2:16" x14ac:dyDescent="0.35">
      <c r="B97" s="24"/>
      <c r="C97" s="25"/>
      <c r="D97" s="26"/>
      <c r="E97" s="26"/>
      <c r="F97" s="26"/>
      <c r="G97" s="26"/>
      <c r="H97" s="26"/>
      <c r="I97" s="26"/>
      <c r="J97" s="26"/>
      <c r="K97" s="26"/>
      <c r="L97" s="27"/>
      <c r="M97" s="2"/>
    </row>
    <row r="98" spans="2:16" x14ac:dyDescent="0.35">
      <c r="B98" s="628" t="str">
        <f>IF(Intro!$G$21="English",O98,P98)</f>
        <v>Dénomination sociale (en français et en anglais, le cas échéant)</v>
      </c>
      <c r="C98" s="629"/>
      <c r="D98" s="629"/>
      <c r="E98" s="626"/>
      <c r="F98" s="626"/>
      <c r="G98" s="626"/>
      <c r="H98" s="626"/>
      <c r="I98" s="626"/>
      <c r="J98" s="626"/>
      <c r="K98" s="626"/>
      <c r="L98" s="627"/>
      <c r="M98" s="2"/>
      <c r="O98" s="11" t="s">
        <v>391</v>
      </c>
      <c r="P98" s="2" t="s">
        <v>392</v>
      </c>
    </row>
    <row r="99" spans="2:16" x14ac:dyDescent="0.35">
      <c r="B99" s="628"/>
      <c r="C99" s="629"/>
      <c r="D99" s="629"/>
      <c r="E99" s="626"/>
      <c r="F99" s="626"/>
      <c r="G99" s="626"/>
      <c r="H99" s="626"/>
      <c r="I99" s="626"/>
      <c r="J99" s="626"/>
      <c r="K99" s="626"/>
      <c r="L99" s="627"/>
      <c r="M99" s="2"/>
      <c r="O99" s="11"/>
    </row>
    <row r="100" spans="2:16" x14ac:dyDescent="0.35">
      <c r="B100" s="628" t="str">
        <f>IF(Intro!$G$21="English",O100,P100)</f>
        <v>Adresse de l’entreprise</v>
      </c>
      <c r="C100" s="629"/>
      <c r="D100" s="629"/>
      <c r="E100" s="626"/>
      <c r="F100" s="626"/>
      <c r="G100" s="626"/>
      <c r="H100" s="626"/>
      <c r="I100" s="626"/>
      <c r="J100" s="626"/>
      <c r="K100" s="626"/>
      <c r="L100" s="627"/>
      <c r="M100" s="2"/>
      <c r="O100" s="11" t="s">
        <v>7</v>
      </c>
      <c r="P100" s="2" t="s">
        <v>396</v>
      </c>
    </row>
    <row r="101" spans="2:16" x14ac:dyDescent="0.35">
      <c r="B101" s="628"/>
      <c r="C101" s="629"/>
      <c r="D101" s="629"/>
      <c r="E101" s="626"/>
      <c r="F101" s="626"/>
      <c r="G101" s="626"/>
      <c r="H101" s="626"/>
      <c r="I101" s="626"/>
      <c r="J101" s="626"/>
      <c r="K101" s="626"/>
      <c r="L101" s="627"/>
      <c r="M101" s="2"/>
      <c r="O101" s="11"/>
    </row>
    <row r="102" spans="2:16" x14ac:dyDescent="0.35">
      <c r="B102" s="628" t="str">
        <f>IF(Intro!$G$21="English",O102,P102)</f>
        <v>Adresse du site Web</v>
      </c>
      <c r="C102" s="629"/>
      <c r="D102" s="629"/>
      <c r="E102" s="626"/>
      <c r="F102" s="626"/>
      <c r="G102" s="626"/>
      <c r="H102" s="626"/>
      <c r="I102" s="626"/>
      <c r="J102" s="626"/>
      <c r="K102" s="626"/>
      <c r="L102" s="627"/>
      <c r="M102" s="2"/>
      <c r="O102" s="11" t="s">
        <v>9</v>
      </c>
      <c r="P102" s="2" t="s">
        <v>10</v>
      </c>
    </row>
    <row r="103" spans="2:16" x14ac:dyDescent="0.35">
      <c r="B103" s="628"/>
      <c r="C103" s="629"/>
      <c r="D103" s="629"/>
      <c r="E103" s="626"/>
      <c r="F103" s="626"/>
      <c r="G103" s="626"/>
      <c r="H103" s="626"/>
      <c r="I103" s="626"/>
      <c r="J103" s="626"/>
      <c r="K103" s="626"/>
      <c r="L103" s="627"/>
      <c r="M103" s="2"/>
      <c r="O103" s="11"/>
    </row>
    <row r="104" spans="2:16" x14ac:dyDescent="0.35">
      <c r="B104" s="147"/>
      <c r="C104" s="148"/>
      <c r="D104" s="149"/>
      <c r="E104" s="149"/>
      <c r="F104" s="149"/>
      <c r="G104" s="149"/>
      <c r="H104" s="149"/>
      <c r="I104" s="149"/>
      <c r="J104" s="149"/>
      <c r="K104" s="149"/>
      <c r="L104" s="150"/>
      <c r="M104" s="2"/>
    </row>
    <row r="105" spans="2:16" x14ac:dyDescent="0.35">
      <c r="B105" s="203" t="str">
        <f>IF(Intro!$G$21="English",O105,P105)</f>
        <v>Si votre entreprise possède plusieurs sites, installations ou points de vente, soumettez une réponse consolidée au questionnaire.</v>
      </c>
      <c r="C105" s="151"/>
      <c r="D105" s="151"/>
      <c r="E105" s="151"/>
      <c r="F105" s="151"/>
      <c r="G105" s="151"/>
      <c r="H105" s="151"/>
      <c r="I105" s="151"/>
      <c r="J105" s="151"/>
      <c r="K105" s="151"/>
      <c r="L105" s="162"/>
      <c r="M105" s="2"/>
      <c r="O105" s="2" t="s">
        <v>361</v>
      </c>
      <c r="P105" s="2" t="s">
        <v>393</v>
      </c>
    </row>
    <row r="106" spans="2:16" x14ac:dyDescent="0.35">
      <c r="B106" s="630" t="str">
        <f>IF(Intro!$G$21="English",O106,P106)</f>
        <v>Fournissez les noms et adresses des autres emplacements, installations et points de vente au Canada au nom desquels votre entreprise répond.</v>
      </c>
      <c r="C106" s="631"/>
      <c r="D106" s="631"/>
      <c r="E106" s="636"/>
      <c r="F106" s="636"/>
      <c r="G106" s="636"/>
      <c r="H106" s="636"/>
      <c r="I106" s="636"/>
      <c r="J106" s="636"/>
      <c r="K106" s="636"/>
      <c r="L106" s="637"/>
      <c r="M106" s="2"/>
      <c r="O106" s="11" t="s">
        <v>11</v>
      </c>
      <c r="P106" s="2" t="s">
        <v>394</v>
      </c>
    </row>
    <row r="107" spans="2:16" x14ac:dyDescent="0.35">
      <c r="B107" s="632"/>
      <c r="C107" s="633"/>
      <c r="D107" s="633"/>
      <c r="E107" s="638"/>
      <c r="F107" s="638"/>
      <c r="G107" s="638"/>
      <c r="H107" s="638"/>
      <c r="I107" s="638"/>
      <c r="J107" s="638"/>
      <c r="K107" s="638"/>
      <c r="L107" s="639"/>
      <c r="M107" s="2"/>
      <c r="O107" s="11"/>
    </row>
    <row r="108" spans="2:16" x14ac:dyDescent="0.35">
      <c r="B108" s="632"/>
      <c r="C108" s="633"/>
      <c r="D108" s="633"/>
      <c r="E108" s="638"/>
      <c r="F108" s="638"/>
      <c r="G108" s="638"/>
      <c r="H108" s="638"/>
      <c r="I108" s="638"/>
      <c r="J108" s="638"/>
      <c r="K108" s="638"/>
      <c r="L108" s="639"/>
      <c r="M108" s="2"/>
      <c r="O108" s="11"/>
    </row>
    <row r="109" spans="2:16" x14ac:dyDescent="0.35">
      <c r="B109" s="632"/>
      <c r="C109" s="633"/>
      <c r="D109" s="633"/>
      <c r="E109" s="638"/>
      <c r="F109" s="638"/>
      <c r="G109" s="638"/>
      <c r="H109" s="638"/>
      <c r="I109" s="638"/>
      <c r="J109" s="638"/>
      <c r="K109" s="638"/>
      <c r="L109" s="639"/>
      <c r="M109" s="2"/>
      <c r="O109" s="11"/>
    </row>
    <row r="110" spans="2:16" x14ac:dyDescent="0.35">
      <c r="B110" s="632"/>
      <c r="C110" s="633"/>
      <c r="D110" s="633"/>
      <c r="E110" s="638"/>
      <c r="F110" s="638"/>
      <c r="G110" s="638"/>
      <c r="H110" s="638"/>
      <c r="I110" s="638"/>
      <c r="J110" s="638"/>
      <c r="K110" s="638"/>
      <c r="L110" s="639"/>
      <c r="M110" s="2"/>
      <c r="O110" s="11"/>
    </row>
    <row r="111" spans="2:16" x14ac:dyDescent="0.35">
      <c r="B111" s="632"/>
      <c r="C111" s="633"/>
      <c r="D111" s="633"/>
      <c r="E111" s="638"/>
      <c r="F111" s="638"/>
      <c r="G111" s="638"/>
      <c r="H111" s="638"/>
      <c r="I111" s="638"/>
      <c r="J111" s="638"/>
      <c r="K111" s="638"/>
      <c r="L111" s="639"/>
      <c r="M111" s="2"/>
      <c r="O111" s="11"/>
    </row>
    <row r="112" spans="2:16" x14ac:dyDescent="0.35">
      <c r="B112" s="632"/>
      <c r="C112" s="633"/>
      <c r="D112" s="633"/>
      <c r="E112" s="638"/>
      <c r="F112" s="638"/>
      <c r="G112" s="638"/>
      <c r="H112" s="638"/>
      <c r="I112" s="638"/>
      <c r="J112" s="638"/>
      <c r="K112" s="638"/>
      <c r="L112" s="639"/>
      <c r="M112" s="2"/>
      <c r="O112" s="11"/>
    </row>
    <row r="113" spans="2:16" x14ac:dyDescent="0.35">
      <c r="B113" s="632"/>
      <c r="C113" s="633"/>
      <c r="D113" s="633"/>
      <c r="E113" s="638"/>
      <c r="F113" s="638"/>
      <c r="G113" s="638"/>
      <c r="H113" s="638"/>
      <c r="I113" s="638"/>
      <c r="J113" s="638"/>
      <c r="K113" s="638"/>
      <c r="L113" s="639"/>
      <c r="M113" s="2"/>
      <c r="O113" s="11"/>
    </row>
    <row r="114" spans="2:16" x14ac:dyDescent="0.35">
      <c r="B114" s="632"/>
      <c r="C114" s="633"/>
      <c r="D114" s="633"/>
      <c r="E114" s="638"/>
      <c r="F114" s="638"/>
      <c r="G114" s="638"/>
      <c r="H114" s="638"/>
      <c r="I114" s="638"/>
      <c r="J114" s="638"/>
      <c r="K114" s="638"/>
      <c r="L114" s="639"/>
      <c r="M114" s="2"/>
      <c r="O114" s="11"/>
    </row>
    <row r="115" spans="2:16" x14ac:dyDescent="0.35">
      <c r="B115" s="634"/>
      <c r="C115" s="635"/>
      <c r="D115" s="635"/>
      <c r="E115" s="640"/>
      <c r="F115" s="640"/>
      <c r="G115" s="640"/>
      <c r="H115" s="640"/>
      <c r="I115" s="640"/>
      <c r="J115" s="640"/>
      <c r="K115" s="640"/>
      <c r="L115" s="641"/>
      <c r="M115" s="2"/>
      <c r="O115" s="11"/>
    </row>
    <row r="116" spans="2:16" x14ac:dyDescent="0.35">
      <c r="B116" s="175"/>
      <c r="C116" s="176"/>
      <c r="D116" s="176"/>
      <c r="E116" s="176"/>
      <c r="F116" s="176"/>
      <c r="G116" s="176"/>
      <c r="H116" s="176"/>
      <c r="I116" s="176"/>
      <c r="J116" s="176"/>
      <c r="K116" s="176"/>
      <c r="L116" s="177"/>
      <c r="M116" s="2"/>
    </row>
    <row r="118" spans="2:16" x14ac:dyDescent="0.35">
      <c r="B118" s="599" t="str">
        <f>IF(Intro!$G$21="English",O118,P118)</f>
        <v>ATTESTATION</v>
      </c>
      <c r="C118" s="600"/>
      <c r="D118" s="600"/>
      <c r="E118" s="600"/>
      <c r="F118" s="600"/>
      <c r="G118" s="600"/>
      <c r="H118" s="600"/>
      <c r="I118" s="600"/>
      <c r="J118" s="600"/>
      <c r="K118" s="600"/>
      <c r="L118" s="601"/>
      <c r="M118" s="2"/>
      <c r="O118" s="2" t="s">
        <v>3</v>
      </c>
      <c r="P118" s="2" t="s">
        <v>4</v>
      </c>
    </row>
    <row r="119" spans="2:16" x14ac:dyDescent="0.35">
      <c r="B119" s="24"/>
      <c r="C119" s="25"/>
      <c r="D119" s="26"/>
      <c r="E119" s="26"/>
      <c r="F119" s="26"/>
      <c r="G119" s="26"/>
      <c r="H119" s="26"/>
      <c r="I119" s="26"/>
      <c r="J119" s="26"/>
      <c r="K119" s="26"/>
      <c r="L119" s="27"/>
      <c r="M119" s="2"/>
    </row>
    <row r="120" spans="2:16" x14ac:dyDescent="0.35">
      <c r="B120" s="608" t="str">
        <f>IF(Intro!$G$21="English",O120,P120)</f>
        <v>Le soussigné déclare que, pour autant qu’il sache, les renseignements fournis aux présentes sont complets et exacts.</v>
      </c>
      <c r="C120" s="609"/>
      <c r="D120" s="609"/>
      <c r="E120" s="609"/>
      <c r="F120" s="609"/>
      <c r="G120" s="609"/>
      <c r="H120" s="609"/>
      <c r="I120" s="609"/>
      <c r="J120" s="609"/>
      <c r="K120" s="609"/>
      <c r="L120" s="610"/>
      <c r="M120" s="2"/>
      <c r="O120" s="2" t="s">
        <v>660</v>
      </c>
      <c r="P120" s="2" t="s">
        <v>661</v>
      </c>
    </row>
    <row r="121" spans="2:16" x14ac:dyDescent="0.35">
      <c r="B121" s="169"/>
      <c r="C121" s="170"/>
      <c r="D121" s="170"/>
      <c r="E121" s="170"/>
      <c r="F121" s="170"/>
      <c r="G121" s="170"/>
      <c r="H121" s="170"/>
      <c r="I121" s="170"/>
      <c r="J121" s="170"/>
      <c r="K121" s="170"/>
      <c r="L121" s="171"/>
      <c r="M121" s="2"/>
    </row>
    <row r="122" spans="2:16" x14ac:dyDescent="0.35">
      <c r="B122" s="628" t="str">
        <f>IF(Intro!$G$21="English",O122,P122)</f>
        <v>Nom du représentant autorisé</v>
      </c>
      <c r="C122" s="629"/>
      <c r="D122" s="629"/>
      <c r="E122" s="626"/>
      <c r="F122" s="626"/>
      <c r="G122" s="626"/>
      <c r="H122" s="626"/>
      <c r="I122" s="626"/>
      <c r="J122" s="626"/>
      <c r="K122" s="626"/>
      <c r="L122" s="627"/>
      <c r="M122" s="2"/>
      <c r="O122" s="11" t="s">
        <v>12</v>
      </c>
      <c r="P122" s="2" t="s">
        <v>13</v>
      </c>
    </row>
    <row r="123" spans="2:16" x14ac:dyDescent="0.35">
      <c r="B123" s="628"/>
      <c r="C123" s="629"/>
      <c r="D123" s="629"/>
      <c r="E123" s="626"/>
      <c r="F123" s="626"/>
      <c r="G123" s="626"/>
      <c r="H123" s="626"/>
      <c r="I123" s="626"/>
      <c r="J123" s="626"/>
      <c r="K123" s="626"/>
      <c r="L123" s="627"/>
      <c r="M123" s="2"/>
      <c r="O123" s="11"/>
    </row>
    <row r="124" spans="2:16" x14ac:dyDescent="0.35">
      <c r="B124" s="628" t="str">
        <f>IF(Intro!$G$21="English",O124,P124)</f>
        <v>Titre du représentant autorisé</v>
      </c>
      <c r="C124" s="629"/>
      <c r="D124" s="629"/>
      <c r="E124" s="626"/>
      <c r="F124" s="626"/>
      <c r="G124" s="626"/>
      <c r="H124" s="626"/>
      <c r="I124" s="626"/>
      <c r="J124" s="626"/>
      <c r="K124" s="626"/>
      <c r="L124" s="627"/>
      <c r="M124" s="2"/>
      <c r="O124" s="11" t="s">
        <v>14</v>
      </c>
      <c r="P124" s="2" t="s">
        <v>15</v>
      </c>
    </row>
    <row r="125" spans="2:16" x14ac:dyDescent="0.35">
      <c r="B125" s="628"/>
      <c r="C125" s="629"/>
      <c r="D125" s="629"/>
      <c r="E125" s="626"/>
      <c r="F125" s="626"/>
      <c r="G125" s="626"/>
      <c r="H125" s="626"/>
      <c r="I125" s="626"/>
      <c r="J125" s="626"/>
      <c r="K125" s="626"/>
      <c r="L125" s="627"/>
      <c r="M125" s="2"/>
      <c r="O125" s="11"/>
    </row>
    <row r="126" spans="2:16" x14ac:dyDescent="0.35">
      <c r="B126" s="628" t="str">
        <f>IF(Intro!$G$21="English",O126,P126)</f>
        <v>Adresse courriel</v>
      </c>
      <c r="C126" s="629"/>
      <c r="D126" s="629"/>
      <c r="E126" s="626"/>
      <c r="F126" s="626"/>
      <c r="G126" s="626"/>
      <c r="H126" s="626"/>
      <c r="I126" s="626"/>
      <c r="J126" s="626"/>
      <c r="K126" s="626"/>
      <c r="L126" s="627"/>
      <c r="M126" s="2"/>
      <c r="O126" s="11" t="s">
        <v>132</v>
      </c>
      <c r="P126" s="2" t="s">
        <v>431</v>
      </c>
    </row>
    <row r="127" spans="2:16" x14ac:dyDescent="0.35">
      <c r="B127" s="628"/>
      <c r="C127" s="629"/>
      <c r="D127" s="629"/>
      <c r="E127" s="626"/>
      <c r="F127" s="626"/>
      <c r="G127" s="626"/>
      <c r="H127" s="626"/>
      <c r="I127" s="626"/>
      <c r="J127" s="626"/>
      <c r="K127" s="626"/>
      <c r="L127" s="627"/>
      <c r="M127" s="2"/>
      <c r="O127" s="11"/>
    </row>
    <row r="128" spans="2:16" x14ac:dyDescent="0.35">
      <c r="B128" s="628" t="str">
        <f>IF(Intro!$G$21="English",O128,P128)</f>
        <v>Téléphone</v>
      </c>
      <c r="C128" s="629"/>
      <c r="D128" s="629"/>
      <c r="E128" s="626"/>
      <c r="F128" s="626"/>
      <c r="G128" s="626"/>
      <c r="H128" s="626"/>
      <c r="I128" s="626"/>
      <c r="J128" s="626"/>
      <c r="K128" s="626"/>
      <c r="L128" s="627"/>
      <c r="M128" s="2"/>
      <c r="O128" s="11" t="s">
        <v>16</v>
      </c>
      <c r="P128" s="2" t="s">
        <v>17</v>
      </c>
    </row>
    <row r="129" spans="1:16" x14ac:dyDescent="0.35">
      <c r="B129" s="628"/>
      <c r="C129" s="629"/>
      <c r="D129" s="629"/>
      <c r="E129" s="626"/>
      <c r="F129" s="626"/>
      <c r="G129" s="626"/>
      <c r="H129" s="626"/>
      <c r="I129" s="626"/>
      <c r="J129" s="626"/>
      <c r="K129" s="626"/>
      <c r="L129" s="627"/>
      <c r="M129" s="2"/>
      <c r="O129" s="11"/>
    </row>
    <row r="130" spans="1:16" x14ac:dyDescent="0.35">
      <c r="B130" s="628" t="s">
        <v>133</v>
      </c>
      <c r="C130" s="629"/>
      <c r="D130" s="629"/>
      <c r="E130" s="625"/>
      <c r="F130" s="626"/>
      <c r="G130" s="626"/>
      <c r="H130" s="626"/>
      <c r="I130" s="626"/>
      <c r="J130" s="626"/>
      <c r="K130" s="626"/>
      <c r="L130" s="627"/>
      <c r="M130" s="2"/>
      <c r="O130" s="11"/>
    </row>
    <row r="131" spans="1:16" x14ac:dyDescent="0.35">
      <c r="B131" s="628"/>
      <c r="C131" s="629"/>
      <c r="D131" s="629"/>
      <c r="E131" s="626"/>
      <c r="F131" s="626"/>
      <c r="G131" s="626"/>
      <c r="H131" s="626"/>
      <c r="I131" s="626"/>
      <c r="J131" s="626"/>
      <c r="K131" s="626"/>
      <c r="L131" s="627"/>
      <c r="M131" s="2"/>
      <c r="O131" s="11"/>
    </row>
    <row r="132" spans="1:16" x14ac:dyDescent="0.35">
      <c r="B132" s="169"/>
      <c r="C132" s="170"/>
      <c r="D132" s="170"/>
      <c r="E132" s="170"/>
      <c r="F132" s="170"/>
      <c r="G132" s="170"/>
      <c r="H132" s="170"/>
      <c r="I132" s="170"/>
      <c r="J132" s="170"/>
      <c r="K132" s="170"/>
      <c r="L132" s="171"/>
      <c r="M132" s="2"/>
    </row>
    <row r="133" spans="1:16" ht="21" x14ac:dyDescent="0.35">
      <c r="B133" s="597" t="str">
        <f>IF(Intro!$G$21="English",O133,P133)</f>
        <v>Je comprends que le fait de cocher cette case constitue ma signature juridiquement contraignante.</v>
      </c>
      <c r="C133" s="598"/>
      <c r="D133" s="598"/>
      <c r="E133" s="598"/>
      <c r="F133" s="598"/>
      <c r="G133" s="598"/>
      <c r="H133" s="598"/>
      <c r="I133" s="598"/>
      <c r="J133" s="204"/>
      <c r="K133" s="145"/>
      <c r="L133" s="146"/>
      <c r="M133" s="2"/>
      <c r="O133" s="11" t="s">
        <v>111</v>
      </c>
      <c r="P133" s="2" t="s">
        <v>112</v>
      </c>
    </row>
    <row r="134" spans="1:16" x14ac:dyDescent="0.35">
      <c r="B134" s="175"/>
      <c r="C134" s="176"/>
      <c r="D134" s="176"/>
      <c r="E134" s="176"/>
      <c r="F134" s="176"/>
      <c r="G134" s="176"/>
      <c r="H134" s="176"/>
      <c r="I134" s="176"/>
      <c r="J134" s="176"/>
      <c r="K134" s="176"/>
      <c r="L134" s="177"/>
      <c r="M134" s="2"/>
    </row>
    <row r="135" spans="1:16" s="9" customFormat="1" x14ac:dyDescent="0.35">
      <c r="A135" s="13"/>
      <c r="B135" s="22"/>
      <c r="C135" s="22"/>
      <c r="D135" s="23"/>
      <c r="E135" s="23"/>
      <c r="F135" s="23"/>
      <c r="G135" s="23"/>
      <c r="H135" s="23"/>
      <c r="I135" s="23"/>
      <c r="J135" s="23"/>
      <c r="K135" s="23"/>
      <c r="L135" s="23"/>
      <c r="O135" s="10"/>
      <c r="P135" s="10"/>
    </row>
    <row r="136" spans="1:16" s="8" customFormat="1" x14ac:dyDescent="0.35">
      <c r="A136" s="13"/>
      <c r="B136" s="599" t="str">
        <f>IF(Intro!$G$21="English",O136,P136)</f>
        <v>TRANSMISSION DU QUESTIONNAIRE REMPLI</v>
      </c>
      <c r="C136" s="600" t="str">
        <f>UPPER(IF(Intro!$G$21="English",P136,Q136))</f>
        <v/>
      </c>
      <c r="D136" s="600" t="str">
        <f>UPPER(IF(Intro!$G$21="English",Q136,R136))</f>
        <v/>
      </c>
      <c r="E136" s="600" t="str">
        <f>UPPER(IF(Intro!$G$21="English",R136,S136))</f>
        <v/>
      </c>
      <c r="F136" s="600"/>
      <c r="G136" s="600" t="str">
        <f>UPPER(IF(Intro!$G$21="English",S136,T136))</f>
        <v/>
      </c>
      <c r="H136" s="600" t="str">
        <f>UPPER(IF(Intro!$G$21="English",T136,U136))</f>
        <v/>
      </c>
      <c r="I136" s="600" t="str">
        <f>UPPER(IF(Intro!$G$21="English",U136,V136))</f>
        <v/>
      </c>
      <c r="J136" s="600" t="str">
        <f>UPPER(IF(Intro!$G$21="English",V136,W136))</f>
        <v/>
      </c>
      <c r="K136" s="600" t="str">
        <f>UPPER(IF(Intro!$G$21="English",W136,X136))</f>
        <v/>
      </c>
      <c r="L136" s="601" t="str">
        <f>UPPER(IF(Intro!$G$21="English",X136,Y136))</f>
        <v/>
      </c>
      <c r="M136" s="9"/>
      <c r="N136" s="15"/>
      <c r="O136" s="14" t="s">
        <v>130</v>
      </c>
      <c r="P136" s="14" t="s">
        <v>131</v>
      </c>
    </row>
    <row r="137" spans="1:16" x14ac:dyDescent="0.35">
      <c r="B137" s="24"/>
      <c r="C137" s="25"/>
      <c r="D137" s="26"/>
      <c r="E137" s="26"/>
      <c r="F137" s="26"/>
      <c r="G137" s="26"/>
      <c r="H137" s="26"/>
      <c r="I137" s="26"/>
      <c r="J137" s="26"/>
      <c r="K137" s="26"/>
      <c r="L137" s="27"/>
      <c r="M137" s="2"/>
    </row>
    <row r="138" spans="1:16" x14ac:dyDescent="0.35">
      <c r="B138" s="602" t="str">
        <f>IF(Intro!$G$21="English",O138,P138)</f>
        <v>Veuillez retourner le questionnaire rempli en utilisant l’une des options suivantes :</v>
      </c>
      <c r="C138" s="603"/>
      <c r="D138" s="603"/>
      <c r="E138" s="603"/>
      <c r="F138" s="603"/>
      <c r="G138" s="603"/>
      <c r="H138" s="603"/>
      <c r="I138" s="603"/>
      <c r="J138" s="603"/>
      <c r="K138" s="603"/>
      <c r="L138" s="604"/>
      <c r="M138" s="2"/>
      <c r="O138" s="2" t="s">
        <v>320</v>
      </c>
      <c r="P138" s="2" t="s">
        <v>2</v>
      </c>
    </row>
    <row r="139" spans="1:16" x14ac:dyDescent="0.35">
      <c r="B139" s="605"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39" s="606"/>
      <c r="D139" s="606"/>
      <c r="E139" s="606"/>
      <c r="F139" s="606"/>
      <c r="G139" s="606"/>
      <c r="H139" s="606"/>
      <c r="I139" s="606"/>
      <c r="J139" s="606"/>
      <c r="K139" s="606"/>
      <c r="L139" s="607"/>
      <c r="M139" s="2"/>
    </row>
    <row r="140" spans="1:16" x14ac:dyDescent="0.35">
      <c r="B140" s="611" t="str">
        <f>IF(Intro!$G$21="English",O140,P140)</f>
        <v>Lorsque vous soumettez le questionnaire complété à l’aide du service de dépôt électronique sécurisé, désignez le questionnaire comme confidentiel. Veuillez noter que les informations contenues dans les onglets publics (bleus) de votre questionnaire seront traitées comme des informations publiques.</v>
      </c>
      <c r="C140" s="612"/>
      <c r="D140" s="612"/>
      <c r="E140" s="612"/>
      <c r="F140" s="612"/>
      <c r="G140" s="612"/>
      <c r="H140" s="612"/>
      <c r="I140" s="612"/>
      <c r="J140" s="612"/>
      <c r="K140" s="612"/>
      <c r="L140" s="613"/>
      <c r="M140" s="2"/>
      <c r="O140" s="2" t="s">
        <v>359</v>
      </c>
      <c r="P140" s="2" t="s">
        <v>397</v>
      </c>
    </row>
    <row r="141" spans="1:16" x14ac:dyDescent="0.35">
      <c r="B141" s="611"/>
      <c r="C141" s="612"/>
      <c r="D141" s="612"/>
      <c r="E141" s="612"/>
      <c r="F141" s="612"/>
      <c r="G141" s="612"/>
      <c r="H141" s="612"/>
      <c r="I141" s="612"/>
      <c r="J141" s="612"/>
      <c r="K141" s="612"/>
      <c r="L141" s="613"/>
      <c r="M141" s="2"/>
    </row>
    <row r="142" spans="1:16" x14ac:dyDescent="0.35">
      <c r="B142" s="608" t="str">
        <f>IF(Intro!$G$21="English",O142,P142)</f>
        <v>2. Par courriel à l’adresse tcce-citt@tribunal.gc.ca si vous acceptez les risques connexes et vous transmettez des renseignements qui sont ceux de votre entreprise seulement.</v>
      </c>
      <c r="C142" s="609"/>
      <c r="D142" s="609"/>
      <c r="E142" s="609"/>
      <c r="F142" s="609"/>
      <c r="G142" s="609"/>
      <c r="H142" s="609"/>
      <c r="I142" s="609"/>
      <c r="J142" s="609"/>
      <c r="K142" s="609"/>
      <c r="L142" s="610"/>
      <c r="M142" s="2"/>
      <c r="O142" s="2" t="s">
        <v>555</v>
      </c>
      <c r="P142" s="2" t="s">
        <v>662</v>
      </c>
    </row>
    <row r="143" spans="1:16" x14ac:dyDescent="0.35">
      <c r="B143" s="175"/>
      <c r="C143" s="176"/>
      <c r="D143" s="176"/>
      <c r="E143" s="176"/>
      <c r="F143" s="176"/>
      <c r="G143" s="176"/>
      <c r="H143" s="176"/>
      <c r="I143" s="176"/>
      <c r="J143" s="176"/>
      <c r="K143" s="176"/>
      <c r="L143" s="177"/>
      <c r="M143" s="2"/>
    </row>
    <row r="145" spans="1:16" s="8" customFormat="1" x14ac:dyDescent="0.35">
      <c r="A145" s="13"/>
      <c r="B145" s="599" t="s">
        <v>628</v>
      </c>
      <c r="C145" s="600" t="str">
        <f>UPPER(IF(Intro!$G$21="English",P145,Q145))</f>
        <v/>
      </c>
      <c r="D145" s="600" t="str">
        <f>UPPER(IF(Intro!$G$21="English",Q145,R145))</f>
        <v/>
      </c>
      <c r="E145" s="600" t="str">
        <f>UPPER(IF(Intro!$G$21="English",R145,S145))</f>
        <v/>
      </c>
      <c r="F145" s="600"/>
      <c r="G145" s="600" t="str">
        <f>UPPER(IF(Intro!$G$21="English",S145,T145))</f>
        <v/>
      </c>
      <c r="H145" s="600" t="str">
        <f>UPPER(IF(Intro!$G$21="English",T145,U145))</f>
        <v/>
      </c>
      <c r="I145" s="600" t="str">
        <f>UPPER(IF(Intro!$G$21="English",U145,V145))</f>
        <v/>
      </c>
      <c r="J145" s="600" t="str">
        <f>UPPER(IF(Intro!$G$21="English",V145,W145))</f>
        <v/>
      </c>
      <c r="K145" s="600" t="str">
        <f>UPPER(IF(Intro!$G$21="English",W145,X145))</f>
        <v/>
      </c>
      <c r="L145" s="601" t="str">
        <f>UPPER(IF(Intro!$G$21="English",X145,Y145))</f>
        <v/>
      </c>
      <c r="M145" s="9"/>
      <c r="N145" s="15"/>
      <c r="O145" s="14"/>
      <c r="P145" s="14"/>
    </row>
    <row r="146" spans="1:16" x14ac:dyDescent="0.35">
      <c r="B146" s="24"/>
      <c r="C146" s="25"/>
      <c r="D146" s="26"/>
      <c r="E146" s="26"/>
      <c r="F146" s="26"/>
      <c r="G146" s="26"/>
      <c r="H146" s="26"/>
      <c r="I146" s="26"/>
      <c r="J146" s="26"/>
      <c r="K146" s="26"/>
      <c r="L146" s="27"/>
      <c r="M146" s="2"/>
    </row>
    <row r="147" spans="1:16" x14ac:dyDescent="0.35">
      <c r="B147" s="602" t="str">
        <f>IF(Intro!$G$21="English",O147,P147)</f>
        <v xml:space="preserve">Toutes les questions relatives au présent questionnaire doivent être adressées à :
</v>
      </c>
      <c r="C147" s="603"/>
      <c r="D147" s="603"/>
      <c r="E147" s="603"/>
      <c r="F147" s="603"/>
      <c r="G147" s="603"/>
      <c r="H147" s="603"/>
      <c r="I147" s="603"/>
      <c r="J147" s="603"/>
      <c r="K147" s="603"/>
      <c r="L147" s="604"/>
      <c r="M147" s="2"/>
      <c r="O147" s="2" t="s">
        <v>389</v>
      </c>
      <c r="P147" s="2" t="s">
        <v>390</v>
      </c>
    </row>
    <row r="148" spans="1:16" x14ac:dyDescent="0.35">
      <c r="B148" s="159"/>
      <c r="C148" s="160"/>
      <c r="D148" s="160"/>
      <c r="E148" s="160"/>
      <c r="F148" s="160"/>
      <c r="G148" s="160"/>
      <c r="H148" s="160"/>
      <c r="I148" s="160"/>
      <c r="J148" s="160"/>
      <c r="K148" s="160"/>
      <c r="L148" s="161"/>
      <c r="M148" s="2"/>
    </row>
    <row r="149" spans="1:16" x14ac:dyDescent="0.35">
      <c r="B149" s="594" t="str">
        <f>Variables!B13</f>
        <v>Nicole Lalonde</v>
      </c>
      <c r="C149" s="595"/>
      <c r="D149" s="595"/>
      <c r="E149" s="595" t="str">
        <f>Variables!C13</f>
        <v xml:space="preserve">nicole.lalonde@tribunal.gc.ca </v>
      </c>
      <c r="F149" s="595"/>
      <c r="G149" s="595"/>
      <c r="H149" s="595"/>
      <c r="I149" s="595"/>
      <c r="J149" s="595" t="str">
        <f>Variables!D13</f>
        <v>343-574-8274</v>
      </c>
      <c r="K149" s="595"/>
      <c r="L149" s="596"/>
      <c r="M149" s="2"/>
      <c r="O149" s="11"/>
    </row>
    <row r="150" spans="1:16" x14ac:dyDescent="0.35">
      <c r="B150" s="594" t="str">
        <f>Variables!B14</f>
        <v>Paula Place</v>
      </c>
      <c r="C150" s="595"/>
      <c r="D150" s="595"/>
      <c r="E150" s="595" t="str">
        <f>Variables!C14</f>
        <v>paula.place@tribunal.gc.ca</v>
      </c>
      <c r="F150" s="595"/>
      <c r="G150" s="595"/>
      <c r="H150" s="595"/>
      <c r="I150" s="595"/>
      <c r="J150" s="595" t="str">
        <f>Variables!D14</f>
        <v>343-574-3196</v>
      </c>
      <c r="K150" s="595"/>
      <c r="L150" s="596"/>
      <c r="M150" s="2"/>
      <c r="O150" s="11"/>
    </row>
    <row r="151" spans="1:16" x14ac:dyDescent="0.35">
      <c r="B151" s="594" t="str">
        <f>Variables!B15</f>
        <v>Jornette Dangbedji</v>
      </c>
      <c r="C151" s="595"/>
      <c r="D151" s="595"/>
      <c r="E151" s="595" t="str">
        <f>Variables!C15</f>
        <v>jornette.dangbedji@tribunal.gc.ca</v>
      </c>
      <c r="F151" s="595"/>
      <c r="G151" s="595"/>
      <c r="H151" s="595"/>
      <c r="I151" s="595"/>
      <c r="J151" s="595" t="str">
        <f>Variables!D15</f>
        <v>613-408-8743</v>
      </c>
      <c r="K151" s="595"/>
      <c r="L151" s="596"/>
      <c r="M151" s="2"/>
      <c r="O151" s="11"/>
    </row>
    <row r="152" spans="1:16" x14ac:dyDescent="0.35">
      <c r="B152" s="175"/>
      <c r="C152" s="176"/>
      <c r="D152" s="176"/>
      <c r="E152" s="176"/>
      <c r="F152" s="176"/>
      <c r="G152" s="176"/>
      <c r="H152" s="176"/>
      <c r="I152" s="176"/>
      <c r="J152" s="176"/>
      <c r="K152" s="176"/>
      <c r="L152" s="177"/>
      <c r="M152" s="2"/>
    </row>
  </sheetData>
  <sheetProtection algorithmName="SHA-512" hashValue="IXaaZnFQjQ8MMCpKUxoU1b3qG8iy2+QB3XKDWv3dv3UlWgpJAKRMaDa4sOmPMkOGYVzrmBJGbdgZxFQu1e0A7A==" saltValue="QXc1Iy0Cl60Y+9/yjckIEQ==" spinCount="100000" sheet="1" objects="1" scenarios="1" selectLockedCells="1"/>
  <mergeCells count="73">
    <mergeCell ref="B126:D127"/>
    <mergeCell ref="E126:L127"/>
    <mergeCell ref="B21:F22"/>
    <mergeCell ref="H21:L22"/>
    <mergeCell ref="G21:G22"/>
    <mergeCell ref="C29:K52"/>
    <mergeCell ref="B65:C66"/>
    <mergeCell ref="D65:E66"/>
    <mergeCell ref="F65:L66"/>
    <mergeCell ref="B28:L28"/>
    <mergeCell ref="B53:L53"/>
    <mergeCell ref="B62:L62"/>
    <mergeCell ref="D64:E64"/>
    <mergeCell ref="F64:L64"/>
    <mergeCell ref="B60:L60"/>
    <mergeCell ref="E124:L125"/>
    <mergeCell ref="B122:D123"/>
    <mergeCell ref="O9:P17"/>
    <mergeCell ref="B90:L90"/>
    <mergeCell ref="B84:L84"/>
    <mergeCell ref="B74:L81"/>
    <mergeCell ref="B67:C70"/>
    <mergeCell ref="B54:L55"/>
    <mergeCell ref="B72:L72"/>
    <mergeCell ref="D67:E70"/>
    <mergeCell ref="F67:L70"/>
    <mergeCell ref="D86:J87"/>
    <mergeCell ref="B96:L96"/>
    <mergeCell ref="B92:L93"/>
    <mergeCell ref="C56:G56"/>
    <mergeCell ref="C57:G57"/>
    <mergeCell ref="E130:L131"/>
    <mergeCell ref="E128:L129"/>
    <mergeCell ref="B118:L118"/>
    <mergeCell ref="B98:D99"/>
    <mergeCell ref="E98:L99"/>
    <mergeCell ref="B100:D101"/>
    <mergeCell ref="B102:D103"/>
    <mergeCell ref="E102:L103"/>
    <mergeCell ref="E100:L101"/>
    <mergeCell ref="B106:D115"/>
    <mergeCell ref="E106:L115"/>
    <mergeCell ref="B120:L120"/>
    <mergeCell ref="B128:D129"/>
    <mergeCell ref="B130:D131"/>
    <mergeCell ref="E122:L123"/>
    <mergeCell ref="B124:D125"/>
    <mergeCell ref="B4:L4"/>
    <mergeCell ref="B5:L5"/>
    <mergeCell ref="B8:L8"/>
    <mergeCell ref="B25:L25"/>
    <mergeCell ref="B27:L27"/>
    <mergeCell ref="B19:L19"/>
    <mergeCell ref="B10:F16"/>
    <mergeCell ref="H10:L16"/>
    <mergeCell ref="B6:L6"/>
    <mergeCell ref="B133:I133"/>
    <mergeCell ref="B149:D149"/>
    <mergeCell ref="B150:D150"/>
    <mergeCell ref="E149:I149"/>
    <mergeCell ref="E150:I150"/>
    <mergeCell ref="B136:L136"/>
    <mergeCell ref="B138:L138"/>
    <mergeCell ref="B147:L147"/>
    <mergeCell ref="B139:L139"/>
    <mergeCell ref="B145:L145"/>
    <mergeCell ref="B142:L142"/>
    <mergeCell ref="B140:L141"/>
    <mergeCell ref="B151:D151"/>
    <mergeCell ref="E151:I151"/>
    <mergeCell ref="J151:L151"/>
    <mergeCell ref="J149:L149"/>
    <mergeCell ref="J150:L150"/>
  </mergeCells>
  <dataValidations count="3">
    <dataValidation type="list" allowBlank="1" showInputMessage="1" showErrorMessage="1" sqref="J133" xr:uid="{EB39B09B-D0F1-436F-B804-013D0C460A66}">
      <formula1>"X"</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74" xr:uid="{F430DF32-834C-4959-BEAA-B4F42952D68C}">
      <formula1>1000</formula1>
    </dataValidation>
    <dataValidation type="list" allowBlank="1" showInputMessage="1" showErrorMessage="1" sqref="G21" xr:uid="{F5AA4BE9-9448-48C5-BA37-1F2FA482299A}">
      <formula1>"English, Français"</formula1>
    </dataValidation>
  </dataValidations>
  <printOptions horizontalCentered="1"/>
  <pageMargins left="0.25" right="0.25" top="0.75" bottom="0.75" header="0.3" footer="0.3"/>
  <pageSetup scale="63" fitToHeight="0" orientation="portrait" r:id="rId1"/>
  <headerFooter>
    <oddFooter>&amp;L&amp;A</oddFooter>
  </headerFooter>
  <ignoredErrors>
    <ignoredError sqref="B139"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FABF1EE-6BF0-4F54-BD3F-623D108CC299}">
          <x14:formula1>
            <xm:f>Variables!$D$54:$D$55</xm:f>
          </x14:formula1>
          <xm:sqref>D65:E70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7314-293C-4439-8435-EFB2FE16A054}">
  <sheetPr>
    <tabColor rgb="FFFF0000"/>
  </sheetPr>
  <dimension ref="A3:AD110"/>
  <sheetViews>
    <sheetView workbookViewId="0"/>
  </sheetViews>
  <sheetFormatPr defaultColWidth="9.08984375" defaultRowHeight="13" x14ac:dyDescent="0.3"/>
  <cols>
    <col min="1" max="2" width="9.08984375" style="42"/>
    <col min="3" max="3" width="12.453125" style="42" customWidth="1"/>
    <col min="4" max="4" width="57.90625" style="42" customWidth="1"/>
    <col min="5" max="15" width="9.08984375" style="42"/>
    <col min="16" max="16" width="24" style="42" customWidth="1"/>
    <col min="17" max="16384" width="9.08984375" style="42"/>
  </cols>
  <sheetData>
    <row r="3" spans="4:19" x14ac:dyDescent="0.3">
      <c r="D3" s="102" t="s">
        <v>432</v>
      </c>
      <c r="E3" s="45" t="s">
        <v>433</v>
      </c>
      <c r="F3" s="45"/>
      <c r="G3" s="45"/>
      <c r="H3" s="45"/>
      <c r="I3" s="45"/>
      <c r="J3" s="45"/>
      <c r="K3" s="45" t="s">
        <v>41</v>
      </c>
      <c r="L3" s="45"/>
      <c r="M3" s="45"/>
      <c r="N3" s="45"/>
      <c r="O3" s="45"/>
      <c r="P3" s="45"/>
      <c r="Q3" s="45"/>
      <c r="R3" s="45"/>
      <c r="S3" s="46"/>
    </row>
    <row r="4" spans="4:19" x14ac:dyDescent="0.3">
      <c r="D4" s="48"/>
      <c r="F4" s="42">
        <v>2022</v>
      </c>
      <c r="G4" s="42">
        <v>2023</v>
      </c>
      <c r="H4" s="42">
        <v>2024</v>
      </c>
      <c r="L4" s="42">
        <v>2022</v>
      </c>
      <c r="M4" s="42">
        <v>2023</v>
      </c>
      <c r="N4" s="42">
        <v>2024</v>
      </c>
      <c r="S4" s="49"/>
    </row>
    <row r="5" spans="4:19" x14ac:dyDescent="0.3">
      <c r="D5" s="48" t="s">
        <v>435</v>
      </c>
      <c r="J5" s="42" t="s">
        <v>435</v>
      </c>
      <c r="P5" s="42" t="s">
        <v>434</v>
      </c>
      <c r="S5" s="49"/>
    </row>
    <row r="6" spans="4:19" x14ac:dyDescent="0.3">
      <c r="D6" s="48"/>
      <c r="Q6" s="42">
        <v>2022</v>
      </c>
      <c r="R6" s="42">
        <v>2023</v>
      </c>
      <c r="S6" s="49">
        <v>2024</v>
      </c>
    </row>
    <row r="7" spans="4:19" ht="13.5" thickBot="1" x14ac:dyDescent="0.35">
      <c r="D7" s="48" t="s">
        <v>437</v>
      </c>
      <c r="J7" s="42" t="s">
        <v>437</v>
      </c>
      <c r="P7" s="42" t="s">
        <v>436</v>
      </c>
      <c r="S7" s="49"/>
    </row>
    <row r="8" spans="4:19" x14ac:dyDescent="0.3">
      <c r="D8" s="48" t="s">
        <v>438</v>
      </c>
      <c r="F8" s="43">
        <f>'Pro 1'!G21</f>
        <v>0</v>
      </c>
      <c r="G8" s="43">
        <f>'Pro 1'!H21</f>
        <v>0</v>
      </c>
      <c r="H8" s="43">
        <f>'Pro 1'!I21</f>
        <v>0</v>
      </c>
      <c r="J8" s="42" t="s">
        <v>438</v>
      </c>
      <c r="L8" s="43">
        <f>'Pro 1'!G22</f>
        <v>0</v>
      </c>
      <c r="M8" s="43">
        <f>'Pro 1'!H22</f>
        <v>0</v>
      </c>
      <c r="N8" s="43">
        <f>'Pro 1'!I22</f>
        <v>0</v>
      </c>
      <c r="P8" s="42" t="s">
        <v>371</v>
      </c>
      <c r="Q8" s="42">
        <f>'Pro 3'!G372</f>
        <v>0</v>
      </c>
      <c r="R8" s="42">
        <f>'Pro 3'!H372</f>
        <v>0</v>
      </c>
      <c r="S8" s="49">
        <f>'Pro 3'!I372</f>
        <v>0</v>
      </c>
    </row>
    <row r="9" spans="4:19" x14ac:dyDescent="0.3">
      <c r="D9" s="48"/>
      <c r="P9" s="42" t="s">
        <v>365</v>
      </c>
      <c r="Q9" s="42">
        <f>'Pro 3'!G373</f>
        <v>0</v>
      </c>
      <c r="R9" s="42">
        <f>'Pro 3'!H373</f>
        <v>0</v>
      </c>
      <c r="S9" s="49">
        <f>'Pro 3'!I373</f>
        <v>0</v>
      </c>
    </row>
    <row r="10" spans="4:19" x14ac:dyDescent="0.3">
      <c r="D10" s="48" t="s">
        <v>436</v>
      </c>
      <c r="J10" s="42" t="s">
        <v>436</v>
      </c>
      <c r="P10" s="42" t="s">
        <v>439</v>
      </c>
      <c r="S10" s="49"/>
    </row>
    <row r="11" spans="4:19" x14ac:dyDescent="0.3">
      <c r="D11" s="48" t="s">
        <v>162</v>
      </c>
      <c r="F11" s="42">
        <f>'Pro 3'!G24/1000</f>
        <v>0</v>
      </c>
      <c r="G11" s="42">
        <f>'Pro 3'!H24/1000</f>
        <v>0</v>
      </c>
      <c r="H11" s="42">
        <f>'Pro 3'!I24/1000</f>
        <v>0</v>
      </c>
      <c r="J11" s="42" t="s">
        <v>162</v>
      </c>
      <c r="L11" s="42">
        <f>'Pro 3'!G49/1000</f>
        <v>0</v>
      </c>
      <c r="M11" s="42">
        <f>'Pro 3'!H49/1000</f>
        <v>0</v>
      </c>
      <c r="N11" s="42">
        <f>'Pro 3'!I49/1000</f>
        <v>0</v>
      </c>
      <c r="P11" s="42" t="s">
        <v>368</v>
      </c>
      <c r="Q11" s="42">
        <f>'Pro 3'!G375</f>
        <v>0</v>
      </c>
      <c r="R11" s="42">
        <f>'Pro 3'!H375</f>
        <v>0</v>
      </c>
      <c r="S11" s="49">
        <f>'Pro 3'!I375</f>
        <v>0</v>
      </c>
    </row>
    <row r="12" spans="4:19" x14ac:dyDescent="0.3">
      <c r="D12" s="48" t="s">
        <v>440</v>
      </c>
      <c r="F12" s="42">
        <f>SUM('Pro 3'!G25:G28)/1000</f>
        <v>0</v>
      </c>
      <c r="G12" s="42">
        <f>SUM('Pro 3'!H25:H28)/1000</f>
        <v>0</v>
      </c>
      <c r="H12" s="42">
        <f>SUM('Pro 3'!I25:I28)/1000</f>
        <v>0</v>
      </c>
      <c r="J12" s="42" t="s">
        <v>440</v>
      </c>
      <c r="L12" s="42">
        <f>SUM('Pro 3'!G50:G53)/1000</f>
        <v>0</v>
      </c>
      <c r="M12" s="42">
        <f>SUM('Pro 3'!H50:H53)/1000</f>
        <v>0</v>
      </c>
      <c r="N12" s="42">
        <f>SUM('Pro 3'!I50:I53)/1000</f>
        <v>0</v>
      </c>
      <c r="P12" s="42" t="s">
        <v>367</v>
      </c>
      <c r="Q12" s="42">
        <f>'Pro 3'!G376</f>
        <v>0</v>
      </c>
      <c r="R12" s="42">
        <f>'Pro 3'!H376</f>
        <v>0</v>
      </c>
      <c r="S12" s="49">
        <f>'Pro 3'!I376</f>
        <v>0</v>
      </c>
    </row>
    <row r="13" spans="4:19" x14ac:dyDescent="0.3">
      <c r="D13" s="48" t="s">
        <v>441</v>
      </c>
      <c r="F13" s="42">
        <f>'Pro 3'!G30/1000</f>
        <v>0</v>
      </c>
      <c r="G13" s="42">
        <f>'Pro 3'!H30/1000</f>
        <v>0</v>
      </c>
      <c r="H13" s="42">
        <f>'Pro 3'!I30/1000</f>
        <v>0</v>
      </c>
      <c r="J13" s="42" t="s">
        <v>441</v>
      </c>
      <c r="L13" s="42">
        <f>'Pro 3'!G55/1000</f>
        <v>0</v>
      </c>
      <c r="M13" s="42">
        <f>'Pro 3'!H55/1000</f>
        <v>0</v>
      </c>
      <c r="N13" s="42">
        <f>'Pro 3'!I55/1000</f>
        <v>0</v>
      </c>
      <c r="P13" s="42" t="s">
        <v>442</v>
      </c>
      <c r="Q13" s="42">
        <f>'Pro 3'!G377</f>
        <v>0</v>
      </c>
      <c r="R13" s="42">
        <f>'Pro 3'!H377</f>
        <v>0</v>
      </c>
      <c r="S13" s="49">
        <f>'Pro 3'!I377</f>
        <v>0</v>
      </c>
    </row>
    <row r="14" spans="4:19" ht="13.5" thickBot="1" x14ac:dyDescent="0.35">
      <c r="D14" s="48" t="s">
        <v>418</v>
      </c>
      <c r="F14" s="42">
        <f>'Pro 3'!G31/1000</f>
        <v>0</v>
      </c>
      <c r="G14" s="42">
        <f>'Pro 3'!H31/1000</f>
        <v>0</v>
      </c>
      <c r="H14" s="42">
        <f>'Pro 3'!I31/1000</f>
        <v>0</v>
      </c>
      <c r="J14" s="42" t="s">
        <v>418</v>
      </c>
      <c r="L14" s="42">
        <f>'Pro 3'!G56/1000</f>
        <v>0</v>
      </c>
      <c r="M14" s="42">
        <f>'Pro 3'!H56/1000</f>
        <v>0</v>
      </c>
      <c r="N14" s="42">
        <f>'Pro 3'!I56/1000</f>
        <v>0</v>
      </c>
      <c r="P14" s="42" t="s">
        <v>444</v>
      </c>
      <c r="Q14" s="44"/>
      <c r="R14" s="44"/>
      <c r="S14" s="101"/>
    </row>
    <row r="15" spans="4:19" x14ac:dyDescent="0.3">
      <c r="D15" s="48" t="s">
        <v>443</v>
      </c>
      <c r="F15" s="42">
        <f>'Pro 3'!G32/1000</f>
        <v>0</v>
      </c>
      <c r="G15" s="42">
        <f>'Pro 3'!H32/1000</f>
        <v>0</v>
      </c>
      <c r="H15" s="42">
        <f>'Pro 3'!I32/1000</f>
        <v>0</v>
      </c>
      <c r="J15" s="42" t="s">
        <v>443</v>
      </c>
      <c r="L15" s="42">
        <f>'Pro 3'!G57/1000</f>
        <v>0</v>
      </c>
      <c r="M15" s="42">
        <f>'Pro 3'!H57/1000</f>
        <v>0</v>
      </c>
      <c r="N15" s="42">
        <f>'Pro 3'!I57/1000</f>
        <v>0</v>
      </c>
      <c r="S15" s="49"/>
    </row>
    <row r="16" spans="4:19" x14ac:dyDescent="0.3">
      <c r="D16" s="48" t="s">
        <v>445</v>
      </c>
      <c r="J16" s="42" t="s">
        <v>445</v>
      </c>
      <c r="S16" s="49"/>
    </row>
    <row r="17" spans="4:19" x14ac:dyDescent="0.3">
      <c r="D17" s="48"/>
      <c r="S17" s="49"/>
    </row>
    <row r="18" spans="4:19" x14ac:dyDescent="0.3">
      <c r="D18" s="48" t="s">
        <v>446</v>
      </c>
      <c r="J18" s="42" t="s">
        <v>446</v>
      </c>
      <c r="S18" s="49"/>
    </row>
    <row r="19" spans="4:19" x14ac:dyDescent="0.3">
      <c r="D19" s="48"/>
      <c r="S19" s="49"/>
    </row>
    <row r="20" spans="4:19" x14ac:dyDescent="0.3">
      <c r="D20" s="48" t="s">
        <v>447</v>
      </c>
      <c r="F20" s="42" t="e">
        <f>'Pro 2'!G28+'Pro 2'!G31+'Pro 2'!#REF!+'Pro 2'!#REF!</f>
        <v>#REF!</v>
      </c>
      <c r="G20" s="42" t="e">
        <f>'Pro 2'!H28+'Pro 2'!H31+'Pro 2'!#REF!+'Pro 2'!#REF!</f>
        <v>#REF!</v>
      </c>
      <c r="H20" s="42" t="e">
        <f>'Pro 2'!I28+'Pro 2'!I31+'Pro 2'!#REF!+'Pro 2'!#REF!</f>
        <v>#REF!</v>
      </c>
      <c r="J20" s="42" t="s">
        <v>447</v>
      </c>
      <c r="L20" s="42">
        <f>'Pro 2'!G37</f>
        <v>0</v>
      </c>
      <c r="M20" s="42">
        <f>'Pro 2'!H37</f>
        <v>0</v>
      </c>
      <c r="N20" s="42">
        <f>'Pro 2'!I37</f>
        <v>0</v>
      </c>
      <c r="S20" s="49"/>
    </row>
    <row r="21" spans="4:19" x14ac:dyDescent="0.3">
      <c r="D21" s="48"/>
      <c r="S21" s="49"/>
    </row>
    <row r="22" spans="4:19" x14ac:dyDescent="0.3">
      <c r="D22" s="48" t="s">
        <v>436</v>
      </c>
      <c r="J22" s="42" t="s">
        <v>436</v>
      </c>
      <c r="S22" s="49"/>
    </row>
    <row r="23" spans="4:19" x14ac:dyDescent="0.3">
      <c r="D23" s="48" t="s">
        <v>371</v>
      </c>
      <c r="F23" s="42">
        <f>'Pro 3'!G187</f>
        <v>0</v>
      </c>
      <c r="G23" s="42">
        <f>'Pro 3'!H187</f>
        <v>0</v>
      </c>
      <c r="H23" s="42">
        <f>'Pro 3'!I187</f>
        <v>0</v>
      </c>
      <c r="J23" s="42" t="s">
        <v>371</v>
      </c>
      <c r="L23" s="42">
        <f>'Pro 3'!G211</f>
        <v>0</v>
      </c>
      <c r="M23" s="42">
        <f>'Pro 3'!H211</f>
        <v>0</v>
      </c>
      <c r="N23" s="42">
        <f>'Pro 3'!I211</f>
        <v>0</v>
      </c>
      <c r="S23" s="49"/>
    </row>
    <row r="24" spans="4:19" x14ac:dyDescent="0.3">
      <c r="D24" s="48"/>
      <c r="S24" s="49"/>
    </row>
    <row r="25" spans="4:19" x14ac:dyDescent="0.3">
      <c r="D25" s="48"/>
      <c r="S25" s="49"/>
    </row>
    <row r="26" spans="4:19" x14ac:dyDescent="0.3">
      <c r="D26" s="48"/>
      <c r="S26" s="49"/>
    </row>
    <row r="27" spans="4:19" x14ac:dyDescent="0.3">
      <c r="D27" s="48" t="s">
        <v>162</v>
      </c>
      <c r="F27" s="42">
        <f>'Pro 3'!G188</f>
        <v>0</v>
      </c>
      <c r="G27" s="42">
        <f>'Pro 3'!H188</f>
        <v>0</v>
      </c>
      <c r="H27" s="42">
        <f>'Pro 3'!I188</f>
        <v>0</v>
      </c>
      <c r="J27" s="42" t="s">
        <v>162</v>
      </c>
      <c r="L27" s="42">
        <f>'Pro 3'!G212</f>
        <v>0</v>
      </c>
      <c r="M27" s="42">
        <f>'Pro 3'!H212</f>
        <v>0</v>
      </c>
      <c r="N27" s="42">
        <f>'Pro 3'!I212</f>
        <v>0</v>
      </c>
      <c r="S27" s="49"/>
    </row>
    <row r="28" spans="4:19" x14ac:dyDescent="0.3">
      <c r="D28" s="48" t="s">
        <v>445</v>
      </c>
      <c r="J28" s="42" t="s">
        <v>445</v>
      </c>
      <c r="S28" s="49"/>
    </row>
    <row r="29" spans="4:19" x14ac:dyDescent="0.3">
      <c r="D29" s="48" t="s">
        <v>163</v>
      </c>
      <c r="F29" s="42">
        <f>'Pro 3'!G190</f>
        <v>0</v>
      </c>
      <c r="G29" s="42">
        <f>'Pro 3'!H190</f>
        <v>0</v>
      </c>
      <c r="H29" s="42">
        <f>'Pro 3'!I190</f>
        <v>0</v>
      </c>
      <c r="J29" s="42" t="s">
        <v>163</v>
      </c>
      <c r="L29" s="42">
        <f>'Pro 3'!G214</f>
        <v>0</v>
      </c>
      <c r="M29" s="42">
        <f>'Pro 3'!H214</f>
        <v>0</v>
      </c>
      <c r="N29" s="42">
        <f>'Pro 3'!I214</f>
        <v>0</v>
      </c>
      <c r="S29" s="49"/>
    </row>
    <row r="30" spans="4:19" x14ac:dyDescent="0.3">
      <c r="D30" s="48" t="s">
        <v>365</v>
      </c>
      <c r="J30" s="42" t="s">
        <v>365</v>
      </c>
      <c r="S30" s="49"/>
    </row>
    <row r="31" spans="4:19" x14ac:dyDescent="0.3">
      <c r="D31" s="48" t="s">
        <v>439</v>
      </c>
      <c r="J31" s="42" t="s">
        <v>439</v>
      </c>
      <c r="S31" s="49"/>
    </row>
    <row r="32" spans="4:19" x14ac:dyDescent="0.3">
      <c r="D32" s="48" t="s">
        <v>368</v>
      </c>
      <c r="F32" s="42">
        <f>'Pro 3'!G193</f>
        <v>0</v>
      </c>
      <c r="G32" s="42">
        <f>'Pro 3'!H193</f>
        <v>0</v>
      </c>
      <c r="H32" s="42">
        <f>'Pro 3'!I193</f>
        <v>0</v>
      </c>
      <c r="J32" s="42" t="s">
        <v>368</v>
      </c>
      <c r="L32" s="42">
        <f>'Pro 3'!G217</f>
        <v>0</v>
      </c>
      <c r="M32" s="42">
        <f>'Pro 3'!H217</f>
        <v>0</v>
      </c>
      <c r="N32" s="42">
        <f>'Pro 3'!I217</f>
        <v>0</v>
      </c>
      <c r="S32" s="49"/>
    </row>
    <row r="33" spans="4:20" x14ac:dyDescent="0.3">
      <c r="D33" s="48" t="s">
        <v>367</v>
      </c>
      <c r="F33" s="42">
        <f>'Pro 3'!G194</f>
        <v>0</v>
      </c>
      <c r="G33" s="42">
        <f>'Pro 3'!H194</f>
        <v>0</v>
      </c>
      <c r="H33" s="42">
        <f>'Pro 3'!I194</f>
        <v>0</v>
      </c>
      <c r="J33" s="42" t="s">
        <v>367</v>
      </c>
      <c r="L33" s="42">
        <f>'Pro 3'!G218</f>
        <v>0</v>
      </c>
      <c r="M33" s="42">
        <f>'Pro 3'!H218</f>
        <v>0</v>
      </c>
      <c r="N33" s="42">
        <f>'Pro 3'!I218</f>
        <v>0</v>
      </c>
      <c r="S33" s="49"/>
    </row>
    <row r="34" spans="4:20" ht="13.5" thickBot="1" x14ac:dyDescent="0.35">
      <c r="D34" s="48" t="s">
        <v>442</v>
      </c>
      <c r="F34" s="44">
        <f>'Pro 3'!G195</f>
        <v>0</v>
      </c>
      <c r="G34" s="44">
        <f>'Pro 3'!H195</f>
        <v>0</v>
      </c>
      <c r="H34" s="44">
        <f>'Pro 3'!I195</f>
        <v>0</v>
      </c>
      <c r="J34" s="42" t="s">
        <v>442</v>
      </c>
      <c r="L34" s="44">
        <f>'Pro 3'!G219</f>
        <v>0</v>
      </c>
      <c r="M34" s="44">
        <f>'Pro 3'!H219</f>
        <v>0</v>
      </c>
      <c r="N34" s="44">
        <f>'Pro 3'!I219</f>
        <v>0</v>
      </c>
      <c r="S34" s="49"/>
    </row>
    <row r="35" spans="4:20" x14ac:dyDescent="0.3">
      <c r="D35" s="51" t="s">
        <v>444</v>
      </c>
      <c r="E35" s="52"/>
      <c r="F35" s="52"/>
      <c r="G35" s="52"/>
      <c r="H35" s="52"/>
      <c r="I35" s="52"/>
      <c r="J35" s="52" t="s">
        <v>444</v>
      </c>
      <c r="K35" s="52"/>
      <c r="L35" s="52"/>
      <c r="M35" s="52"/>
      <c r="N35" s="52"/>
      <c r="O35" s="52"/>
      <c r="P35" s="52"/>
      <c r="Q35" s="52"/>
      <c r="R35" s="52"/>
      <c r="S35" s="53"/>
    </row>
    <row r="37" spans="4:20" x14ac:dyDescent="0.3">
      <c r="D37" s="102" t="s">
        <v>448</v>
      </c>
      <c r="E37" s="45"/>
      <c r="F37" s="45">
        <v>2022</v>
      </c>
      <c r="G37" s="45">
        <v>2023</v>
      </c>
      <c r="H37" s="45">
        <v>2024</v>
      </c>
      <c r="I37" s="45"/>
      <c r="J37" s="45"/>
      <c r="K37" s="45">
        <v>2022</v>
      </c>
      <c r="L37" s="45">
        <v>2023</v>
      </c>
      <c r="M37" s="46">
        <v>2024</v>
      </c>
    </row>
    <row r="38" spans="4:20" x14ac:dyDescent="0.3">
      <c r="D38" s="104" t="s">
        <v>556</v>
      </c>
      <c r="E38" s="103"/>
      <c r="F38" s="47">
        <f>'Pro 3'!G25</f>
        <v>0</v>
      </c>
      <c r="G38" s="47">
        <f>'Pro 3'!H25</f>
        <v>0</v>
      </c>
      <c r="H38" s="47">
        <f>'Pro 3'!I25</f>
        <v>0</v>
      </c>
      <c r="I38" s="47"/>
      <c r="J38" s="42" t="s">
        <v>449</v>
      </c>
      <c r="K38" s="42">
        <f>'Pro 3'!G50</f>
        <v>0</v>
      </c>
      <c r="L38" s="42">
        <f>'Pro 3'!H50</f>
        <v>0</v>
      </c>
      <c r="M38" s="49">
        <f>'Pro 3'!I50</f>
        <v>0</v>
      </c>
    </row>
    <row r="39" spans="4:20" x14ac:dyDescent="0.3">
      <c r="D39" s="104" t="s">
        <v>557</v>
      </c>
      <c r="E39" s="103"/>
      <c r="F39" s="47">
        <f>'Pro 3'!G26</f>
        <v>0</v>
      </c>
      <c r="G39" s="47">
        <f>'Pro 3'!H26</f>
        <v>0</v>
      </c>
      <c r="H39" s="47">
        <f>'Pro 3'!I26</f>
        <v>0</v>
      </c>
      <c r="I39" s="47"/>
      <c r="J39" s="42" t="s">
        <v>450</v>
      </c>
      <c r="K39" s="42">
        <f>'Pro 3'!G51</f>
        <v>0</v>
      </c>
      <c r="L39" s="42">
        <f>'Pro 3'!H51</f>
        <v>0</v>
      </c>
      <c r="M39" s="49">
        <f>'Pro 3'!I51</f>
        <v>0</v>
      </c>
    </row>
    <row r="40" spans="4:20" x14ac:dyDescent="0.3">
      <c r="D40" s="104" t="s">
        <v>558</v>
      </c>
      <c r="E40" s="103"/>
      <c r="F40" s="47">
        <f>'Pro 3'!G27</f>
        <v>0</v>
      </c>
      <c r="G40" s="47">
        <f>'Pro 3'!H27</f>
        <v>0</v>
      </c>
      <c r="H40" s="47">
        <f>'Pro 3'!I27</f>
        <v>0</v>
      </c>
      <c r="I40" s="47"/>
      <c r="J40" s="42" t="s">
        <v>451</v>
      </c>
      <c r="K40" s="42">
        <f>'Pro 3'!G52</f>
        <v>0</v>
      </c>
      <c r="L40" s="42">
        <f>'Pro 3'!H52</f>
        <v>0</v>
      </c>
      <c r="M40" s="49">
        <f>'Pro 3'!I52</f>
        <v>0</v>
      </c>
    </row>
    <row r="41" spans="4:20" x14ac:dyDescent="0.3">
      <c r="D41" s="105" t="s">
        <v>452</v>
      </c>
      <c r="E41" s="106"/>
      <c r="F41" s="50">
        <f>'Pro 3'!G28</f>
        <v>0</v>
      </c>
      <c r="G41" s="50">
        <f>'Pro 3'!H28</f>
        <v>0</v>
      </c>
      <c r="H41" s="50">
        <f>'Pro 3'!I28</f>
        <v>0</v>
      </c>
      <c r="I41" s="50"/>
      <c r="J41" s="52" t="s">
        <v>452</v>
      </c>
      <c r="K41" s="52">
        <f>'Pro 3'!G53</f>
        <v>0</v>
      </c>
      <c r="L41" s="52">
        <f>'Pro 3'!H53</f>
        <v>0</v>
      </c>
      <c r="M41" s="53">
        <f>'Pro 3'!I53</f>
        <v>0</v>
      </c>
    </row>
    <row r="43" spans="4:20" x14ac:dyDescent="0.3">
      <c r="D43" s="102" t="s">
        <v>453</v>
      </c>
      <c r="E43" s="99">
        <v>2021</v>
      </c>
      <c r="F43" s="99">
        <v>2022</v>
      </c>
      <c r="G43" s="99">
        <v>2023</v>
      </c>
      <c r="H43" s="45"/>
      <c r="I43" s="99"/>
      <c r="J43" s="45"/>
      <c r="K43" s="99"/>
      <c r="L43" s="1008" t="s">
        <v>527</v>
      </c>
      <c r="M43" s="1008"/>
      <c r="N43" s="1008"/>
      <c r="O43" s="1008" t="s">
        <v>528</v>
      </c>
      <c r="P43" s="1008"/>
      <c r="Q43" s="1008"/>
      <c r="R43" s="1008" t="s">
        <v>529</v>
      </c>
      <c r="S43" s="1008"/>
      <c r="T43" s="1009"/>
    </row>
    <row r="44" spans="4:20" x14ac:dyDescent="0.3">
      <c r="D44" s="89"/>
      <c r="E44" s="86"/>
      <c r="F44" s="86"/>
      <c r="G44" s="86"/>
      <c r="I44" s="98"/>
      <c r="J44" s="86" t="s">
        <v>521</v>
      </c>
      <c r="K44" s="86"/>
      <c r="L44" s="42">
        <v>2022</v>
      </c>
      <c r="M44" s="42">
        <v>2023</v>
      </c>
      <c r="N44" s="42">
        <v>2024</v>
      </c>
      <c r="O44" s="42">
        <v>2022</v>
      </c>
      <c r="P44" s="42">
        <v>2023</v>
      </c>
      <c r="Q44" s="42">
        <v>2024</v>
      </c>
      <c r="R44" s="42">
        <v>2022</v>
      </c>
      <c r="S44" s="42">
        <v>2023</v>
      </c>
      <c r="T44" s="49">
        <v>2024</v>
      </c>
    </row>
    <row r="45" spans="4:20" x14ac:dyDescent="0.3">
      <c r="D45" s="90" t="s">
        <v>454</v>
      </c>
      <c r="E45" s="87">
        <f>'Pro 1'!G28</f>
        <v>0</v>
      </c>
      <c r="F45" s="87">
        <f>'Pro 1'!H28</f>
        <v>0</v>
      </c>
      <c r="G45" s="87">
        <f>'Pro 1'!I28</f>
        <v>0</v>
      </c>
      <c r="I45" s="55"/>
      <c r="J45" s="88" t="s">
        <v>522</v>
      </c>
      <c r="K45" s="88" t="s">
        <v>523</v>
      </c>
      <c r="L45" s="42">
        <f>'Pro 1'!G21</f>
        <v>0</v>
      </c>
      <c r="M45" s="42">
        <f>'Pro 1'!H21</f>
        <v>0</v>
      </c>
      <c r="N45" s="42">
        <f>'Pro 1'!I21</f>
        <v>0</v>
      </c>
      <c r="R45" s="42">
        <f>IF(L45=0,0,O45/L45)*1000</f>
        <v>0</v>
      </c>
      <c r="S45" s="42">
        <f>IF(M45=0,0,P45/M45)*1000</f>
        <v>0</v>
      </c>
      <c r="T45" s="49">
        <f>IF(N45=0,0,Q45/N45)*1000</f>
        <v>0</v>
      </c>
    </row>
    <row r="46" spans="4:20" x14ac:dyDescent="0.3">
      <c r="D46" s="89"/>
      <c r="E46" s="54"/>
      <c r="F46" s="54"/>
      <c r="G46" s="54"/>
      <c r="I46" s="97"/>
      <c r="J46" s="88" t="s">
        <v>522</v>
      </c>
      <c r="K46" s="88" t="s">
        <v>524</v>
      </c>
      <c r="L46" s="42" t="e">
        <f>'Pro 1'!#REF!</f>
        <v>#REF!</v>
      </c>
      <c r="M46" s="42" t="e">
        <f>'Pro 1'!#REF!</f>
        <v>#REF!</v>
      </c>
      <c r="N46" s="42" t="e">
        <f>'Pro 1'!#REF!</f>
        <v>#REF!</v>
      </c>
      <c r="R46" s="42" t="e">
        <f>IF(L46=0,0,O46/L46)*1000</f>
        <v>#REF!</v>
      </c>
      <c r="S46" s="42" t="e">
        <f t="shared" ref="S46:T50" si="0">IF(M46=0,0,P46/M46)*1000</f>
        <v>#REF!</v>
      </c>
      <c r="T46" s="49" t="e">
        <f t="shared" si="0"/>
        <v>#REF!</v>
      </c>
    </row>
    <row r="47" spans="4:20" x14ac:dyDescent="0.3">
      <c r="D47" s="90" t="s">
        <v>455</v>
      </c>
      <c r="E47" s="54"/>
      <c r="F47" s="54"/>
      <c r="G47" s="54"/>
      <c r="I47" s="97"/>
      <c r="J47" s="88" t="s">
        <v>525</v>
      </c>
      <c r="K47" s="88" t="s">
        <v>523</v>
      </c>
      <c r="L47" s="42">
        <f>'Pro 1'!G22</f>
        <v>0</v>
      </c>
      <c r="M47" s="42">
        <f>'Pro 1'!H22</f>
        <v>0</v>
      </c>
      <c r="N47" s="42">
        <f>'Pro 1'!I22</f>
        <v>0</v>
      </c>
      <c r="R47" s="42">
        <f>IF(L47=0,0,O47/L47)*1000</f>
        <v>0</v>
      </c>
      <c r="S47" s="42">
        <f t="shared" si="0"/>
        <v>0</v>
      </c>
      <c r="T47" s="49">
        <f t="shared" si="0"/>
        <v>0</v>
      </c>
    </row>
    <row r="48" spans="4:20" x14ac:dyDescent="0.3">
      <c r="D48" s="91" t="s">
        <v>456</v>
      </c>
      <c r="E48" s="55"/>
      <c r="F48" s="55"/>
      <c r="G48" s="55"/>
      <c r="I48" s="55"/>
      <c r="J48" s="88" t="s">
        <v>525</v>
      </c>
      <c r="K48" s="88" t="s">
        <v>524</v>
      </c>
      <c r="L48" s="42" t="e">
        <f>'Pro 1'!#REF!</f>
        <v>#REF!</v>
      </c>
      <c r="M48" s="42" t="e">
        <f>'Pro 1'!#REF!</f>
        <v>#REF!</v>
      </c>
      <c r="N48" s="42" t="e">
        <f>'Pro 1'!#REF!</f>
        <v>#REF!</v>
      </c>
      <c r="R48" s="42" t="e">
        <f>IF(L48=0,0,O48/L48)*1000</f>
        <v>#REF!</v>
      </c>
      <c r="S48" s="42" t="e">
        <f t="shared" si="0"/>
        <v>#REF!</v>
      </c>
      <c r="T48" s="49" t="e">
        <f t="shared" si="0"/>
        <v>#REF!</v>
      </c>
    </row>
    <row r="49" spans="4:20" x14ac:dyDescent="0.3">
      <c r="D49" s="91" t="s">
        <v>457</v>
      </c>
      <c r="E49" s="55"/>
      <c r="F49" s="55"/>
      <c r="G49" s="55"/>
      <c r="I49" s="55"/>
      <c r="J49" s="88" t="s">
        <v>526</v>
      </c>
      <c r="K49" s="88" t="s">
        <v>523</v>
      </c>
      <c r="L49" s="42">
        <f>'Pro 1'!G23</f>
        <v>0</v>
      </c>
      <c r="M49" s="42">
        <f>'Pro 1'!H23</f>
        <v>0</v>
      </c>
      <c r="N49" s="42">
        <f>'Pro 1'!I23</f>
        <v>0</v>
      </c>
      <c r="R49" s="42">
        <f>IF(L49=0,0,O49/L49)*1000</f>
        <v>0</v>
      </c>
      <c r="S49" s="42">
        <f>IF(M49=0,0,P49/M49)*1000</f>
        <v>0</v>
      </c>
      <c r="T49" s="49">
        <f>IF(N49=0,0,Q49/N49)*1000</f>
        <v>0</v>
      </c>
    </row>
    <row r="50" spans="4:20" x14ac:dyDescent="0.3">
      <c r="D50" s="91" t="s">
        <v>458</v>
      </c>
      <c r="E50" s="56" t="e">
        <f>'Pro 1'!G23+'Pro 1'!#REF!</f>
        <v>#REF!</v>
      </c>
      <c r="F50" s="56" t="e">
        <f>'Pro 1'!H23+'Pro 1'!#REF!</f>
        <v>#REF!</v>
      </c>
      <c r="G50" s="56" t="e">
        <f>'Pro 1'!I23+'Pro 1'!#REF!</f>
        <v>#REF!</v>
      </c>
      <c r="I50" s="59"/>
      <c r="J50" s="88" t="s">
        <v>526</v>
      </c>
      <c r="K50" s="88" t="s">
        <v>524</v>
      </c>
      <c r="L50" s="42" t="e">
        <f>'Pro 1'!#REF!</f>
        <v>#REF!</v>
      </c>
      <c r="M50" s="42" t="e">
        <f>'Pro 1'!#REF!</f>
        <v>#REF!</v>
      </c>
      <c r="N50" s="42" t="e">
        <f>'Pro 1'!#REF!</f>
        <v>#REF!</v>
      </c>
      <c r="R50" s="42" t="e">
        <f t="shared" ref="R50" si="1">IF(L50=0,0,O50/L50)*1000</f>
        <v>#REF!</v>
      </c>
      <c r="S50" s="42" t="e">
        <f t="shared" si="0"/>
        <v>#REF!</v>
      </c>
      <c r="T50" s="49" t="e">
        <f t="shared" si="0"/>
        <v>#REF!</v>
      </c>
    </row>
    <row r="51" spans="4:20" x14ac:dyDescent="0.3">
      <c r="D51" s="92" t="s">
        <v>459</v>
      </c>
      <c r="E51" s="57"/>
      <c r="F51" s="57"/>
      <c r="G51" s="57"/>
      <c r="I51" s="59"/>
      <c r="J51" s="59"/>
      <c r="K51" s="57"/>
      <c r="T51" s="49"/>
    </row>
    <row r="52" spans="4:20" ht="12.75" customHeight="1" x14ac:dyDescent="0.3">
      <c r="D52" s="92" t="s">
        <v>460</v>
      </c>
      <c r="E52" s="57">
        <f>'Pro 1'!G26</f>
        <v>0</v>
      </c>
      <c r="F52" s="57">
        <f>'Pro 1'!H26</f>
        <v>0</v>
      </c>
      <c r="G52" s="57">
        <f>'Pro 1'!I26</f>
        <v>0</v>
      </c>
      <c r="I52" s="57"/>
      <c r="J52" s="57"/>
      <c r="K52" s="57"/>
      <c r="T52" s="49"/>
    </row>
    <row r="53" spans="4:20" x14ac:dyDescent="0.3">
      <c r="D53" s="48"/>
      <c r="E53" s="57"/>
      <c r="F53" s="57"/>
      <c r="G53" s="57"/>
      <c r="I53" s="57"/>
      <c r="J53" s="57"/>
      <c r="K53" s="58"/>
      <c r="T53" s="49"/>
    </row>
    <row r="54" spans="4:20" x14ac:dyDescent="0.3">
      <c r="D54" s="90" t="s">
        <v>461</v>
      </c>
      <c r="E54" s="58"/>
      <c r="F54" s="58"/>
      <c r="G54" s="58"/>
      <c r="I54" s="58"/>
      <c r="J54" s="58"/>
      <c r="K54" s="58"/>
      <c r="T54" s="49"/>
    </row>
    <row r="55" spans="4:20" x14ac:dyDescent="0.3">
      <c r="D55" s="91" t="s">
        <v>462</v>
      </c>
      <c r="E55" s="55"/>
      <c r="F55" s="55"/>
      <c r="G55" s="55"/>
      <c r="I55" s="55"/>
      <c r="J55" s="55"/>
      <c r="K55" s="59"/>
      <c r="T55" s="49"/>
    </row>
    <row r="56" spans="4:20" x14ac:dyDescent="0.3">
      <c r="D56" s="91" t="s">
        <v>463</v>
      </c>
      <c r="E56" s="59">
        <f>'Pro 2'!G38/1000</f>
        <v>0</v>
      </c>
      <c r="F56" s="59">
        <f>'Pro 2'!H38/1000</f>
        <v>0</v>
      </c>
      <c r="G56" s="59">
        <f>'Pro 2'!I38/1000</f>
        <v>0</v>
      </c>
      <c r="I56" s="59"/>
      <c r="J56" s="59"/>
      <c r="K56" s="59"/>
      <c r="T56" s="49"/>
    </row>
    <row r="57" spans="4:20" x14ac:dyDescent="0.3">
      <c r="D57" s="92" t="s">
        <v>464</v>
      </c>
      <c r="E57" s="57"/>
      <c r="F57" s="57"/>
      <c r="G57" s="57"/>
      <c r="I57" s="57"/>
      <c r="J57" s="57"/>
      <c r="K57" s="57"/>
      <c r="T57" s="49"/>
    </row>
    <row r="58" spans="4:20" x14ac:dyDescent="0.3">
      <c r="D58" s="48"/>
      <c r="E58" s="58"/>
      <c r="F58" s="58"/>
      <c r="G58" s="58"/>
      <c r="I58" s="58"/>
      <c r="J58" s="58"/>
      <c r="K58" s="57"/>
      <c r="T58" s="49"/>
    </row>
    <row r="59" spans="4:20" x14ac:dyDescent="0.3">
      <c r="D59" s="90" t="s">
        <v>465</v>
      </c>
      <c r="E59" s="58"/>
      <c r="F59" s="58"/>
      <c r="G59" s="58"/>
      <c r="I59" s="58"/>
      <c r="J59" s="58"/>
      <c r="K59" s="58"/>
      <c r="T59" s="49"/>
    </row>
    <row r="60" spans="4:20" x14ac:dyDescent="0.3">
      <c r="D60" s="91" t="s">
        <v>466</v>
      </c>
      <c r="E60" s="59">
        <f>'Pro 3'!G92</f>
        <v>0</v>
      </c>
      <c r="F60" s="59">
        <f>'Pro 3'!H92</f>
        <v>0</v>
      </c>
      <c r="G60" s="59">
        <f>'Pro 3'!I92</f>
        <v>0</v>
      </c>
      <c r="I60" s="59"/>
      <c r="J60" s="59"/>
      <c r="K60" s="59"/>
      <c r="T60" s="49"/>
    </row>
    <row r="61" spans="4:20" x14ac:dyDescent="0.3">
      <c r="D61" s="91" t="s">
        <v>467</v>
      </c>
      <c r="E61" s="59">
        <f>'Pro 3'!G93</f>
        <v>0</v>
      </c>
      <c r="F61" s="59">
        <f>'Pro 3'!H93</f>
        <v>0</v>
      </c>
      <c r="G61" s="59">
        <f>'Pro 3'!I93</f>
        <v>0</v>
      </c>
      <c r="I61" s="59"/>
      <c r="J61" s="59"/>
      <c r="K61" s="59"/>
      <c r="T61" s="49"/>
    </row>
    <row r="62" spans="4:20" x14ac:dyDescent="0.3">
      <c r="D62" s="90" t="s">
        <v>468</v>
      </c>
      <c r="E62" s="57"/>
      <c r="F62" s="57"/>
      <c r="G62" s="57"/>
      <c r="I62" s="57"/>
      <c r="J62" s="57"/>
      <c r="K62" s="57"/>
      <c r="T62" s="49"/>
    </row>
    <row r="63" spans="4:20" x14ac:dyDescent="0.3">
      <c r="D63" s="91"/>
      <c r="E63" s="58"/>
      <c r="F63" s="58"/>
      <c r="G63" s="58"/>
      <c r="I63" s="58"/>
      <c r="J63" s="58"/>
      <c r="K63" s="58"/>
      <c r="T63" s="49"/>
    </row>
    <row r="64" spans="4:20" x14ac:dyDescent="0.3">
      <c r="D64" s="90" t="s">
        <v>469</v>
      </c>
      <c r="E64" s="58"/>
      <c r="F64" s="58"/>
      <c r="G64" s="58"/>
      <c r="I64" s="58"/>
      <c r="J64" s="58"/>
      <c r="K64" s="58"/>
      <c r="T64" s="49"/>
    </row>
    <row r="65" spans="4:20" x14ac:dyDescent="0.3">
      <c r="D65" s="91" t="s">
        <v>466</v>
      </c>
      <c r="E65" s="59">
        <f>'Pro 3'!G98/1000</f>
        <v>0</v>
      </c>
      <c r="F65" s="59">
        <f>'Pro 3'!H98/1000</f>
        <v>0</v>
      </c>
      <c r="G65" s="59">
        <f>'Pro 3'!I98/1000</f>
        <v>0</v>
      </c>
      <c r="I65" s="59"/>
      <c r="J65" s="59"/>
      <c r="K65" s="59"/>
      <c r="T65" s="49"/>
    </row>
    <row r="66" spans="4:20" x14ac:dyDescent="0.3">
      <c r="D66" s="91" t="s">
        <v>467</v>
      </c>
      <c r="E66" s="59">
        <f>'Pro 3'!G99/1000</f>
        <v>0</v>
      </c>
      <c r="F66" s="59">
        <f>'Pro 3'!H99/1000</f>
        <v>0</v>
      </c>
      <c r="G66" s="59">
        <f>'Pro 3'!I99/1000</f>
        <v>0</v>
      </c>
      <c r="I66" s="59"/>
      <c r="J66" s="59"/>
      <c r="K66" s="59"/>
      <c r="T66" s="49"/>
    </row>
    <row r="67" spans="4:20" x14ac:dyDescent="0.3">
      <c r="D67" s="93" t="s">
        <v>470</v>
      </c>
      <c r="E67" s="57"/>
      <c r="F67" s="57"/>
      <c r="G67" s="57"/>
      <c r="I67" s="57"/>
      <c r="J67" s="57"/>
      <c r="K67" s="57"/>
      <c r="T67" s="49"/>
    </row>
    <row r="68" spans="4:20" x14ac:dyDescent="0.3">
      <c r="D68" s="91"/>
      <c r="E68" s="59"/>
      <c r="F68" s="59"/>
      <c r="G68" s="59"/>
      <c r="I68" s="59"/>
      <c r="J68" s="59"/>
      <c r="K68" s="58"/>
      <c r="T68" s="49"/>
    </row>
    <row r="69" spans="4:20" x14ac:dyDescent="0.3">
      <c r="D69" s="90" t="s">
        <v>530</v>
      </c>
      <c r="E69" s="58"/>
      <c r="F69" s="58"/>
      <c r="G69" s="58"/>
      <c r="I69" s="58"/>
      <c r="J69" s="58"/>
      <c r="K69" s="58"/>
      <c r="T69" s="49"/>
    </row>
    <row r="70" spans="4:20" x14ac:dyDescent="0.3">
      <c r="D70" s="91" t="s">
        <v>366</v>
      </c>
      <c r="E70" s="59">
        <f>'Pro 3'!G104+'Pro 3'!G105</f>
        <v>0</v>
      </c>
      <c r="F70" s="59">
        <f>'Pro 3'!H104+'Pro 3'!H105</f>
        <v>0</v>
      </c>
      <c r="G70" s="59">
        <f>'Pro 3'!I104+'Pro 3'!I105</f>
        <v>0</v>
      </c>
      <c r="I70" s="58"/>
      <c r="J70" s="58"/>
      <c r="K70" s="59"/>
      <c r="T70" s="49"/>
    </row>
    <row r="71" spans="4:20" x14ac:dyDescent="0.3">
      <c r="D71" s="91" t="s">
        <v>369</v>
      </c>
      <c r="E71" s="59">
        <f>'Pro 3'!G106</f>
        <v>0</v>
      </c>
      <c r="F71" s="59">
        <f>'Pro 3'!H106</f>
        <v>0</v>
      </c>
      <c r="G71" s="59">
        <f>'Pro 3'!I106</f>
        <v>0</v>
      </c>
      <c r="I71" s="58"/>
      <c r="J71" s="58"/>
      <c r="K71" s="59"/>
      <c r="T71" s="49"/>
    </row>
    <row r="72" spans="4:20" x14ac:dyDescent="0.3">
      <c r="D72" s="94" t="s">
        <v>531</v>
      </c>
      <c r="I72" s="58"/>
      <c r="J72" s="58"/>
      <c r="K72" s="57"/>
      <c r="T72" s="49"/>
    </row>
    <row r="73" spans="4:20" x14ac:dyDescent="0.3">
      <c r="D73" s="94"/>
      <c r="E73" s="57"/>
      <c r="F73" s="57"/>
      <c r="G73" s="57"/>
      <c r="I73" s="57"/>
      <c r="J73" s="57"/>
      <c r="K73" s="59"/>
      <c r="T73" s="49"/>
    </row>
    <row r="74" spans="4:20" x14ac:dyDescent="0.3">
      <c r="D74" s="94" t="s">
        <v>80</v>
      </c>
      <c r="E74" s="59"/>
      <c r="F74" s="59"/>
      <c r="G74" s="59"/>
      <c r="I74" s="59"/>
      <c r="J74" s="59"/>
      <c r="K74" s="58"/>
      <c r="T74" s="49"/>
    </row>
    <row r="75" spans="4:20" x14ac:dyDescent="0.3">
      <c r="D75" s="91" t="s">
        <v>532</v>
      </c>
      <c r="E75" s="59"/>
      <c r="F75" s="59"/>
      <c r="G75" s="59"/>
      <c r="I75" s="59"/>
      <c r="J75" s="59"/>
      <c r="K75" s="59"/>
      <c r="T75" s="49"/>
    </row>
    <row r="76" spans="4:20" x14ac:dyDescent="0.3">
      <c r="D76" s="100" t="s">
        <v>533</v>
      </c>
      <c r="E76" s="57"/>
      <c r="F76" s="57"/>
      <c r="G76" s="57"/>
      <c r="I76" s="57"/>
      <c r="J76" s="57"/>
      <c r="K76" s="59"/>
      <c r="T76" s="49"/>
    </row>
    <row r="77" spans="4:20" x14ac:dyDescent="0.3">
      <c r="D77" s="91"/>
      <c r="E77" s="59"/>
      <c r="F77" s="59"/>
      <c r="G77" s="59"/>
      <c r="I77" s="59"/>
      <c r="J77" s="59"/>
      <c r="K77" s="59"/>
      <c r="T77" s="49"/>
    </row>
    <row r="78" spans="4:20" x14ac:dyDescent="0.3">
      <c r="D78" s="90" t="s">
        <v>534</v>
      </c>
      <c r="E78" s="59"/>
      <c r="F78" s="59"/>
      <c r="G78" s="59"/>
      <c r="I78" s="59"/>
      <c r="J78" s="59"/>
      <c r="K78" s="59"/>
      <c r="T78" s="49"/>
    </row>
    <row r="79" spans="4:20" x14ac:dyDescent="0.3">
      <c r="D79" s="91" t="s">
        <v>462</v>
      </c>
      <c r="E79" s="59">
        <f>'Pro 2'!G40</f>
        <v>0</v>
      </c>
      <c r="F79" s="59">
        <f>'Pro 2'!H40</f>
        <v>0</v>
      </c>
      <c r="G79" s="59">
        <f>'Pro 2'!I40</f>
        <v>0</v>
      </c>
      <c r="I79" s="59"/>
      <c r="J79" s="59"/>
      <c r="K79" s="59"/>
      <c r="T79" s="49"/>
    </row>
    <row r="80" spans="4:20" x14ac:dyDescent="0.3">
      <c r="D80" s="91" t="s">
        <v>535</v>
      </c>
      <c r="E80" s="59">
        <f>'Pro 2'!G41/1000</f>
        <v>0</v>
      </c>
      <c r="F80" s="59">
        <f>'Pro 2'!H41/1000</f>
        <v>0</v>
      </c>
      <c r="G80" s="59">
        <f>'Pro 2'!I41/1000</f>
        <v>0</v>
      </c>
      <c r="I80" s="59"/>
      <c r="J80" s="59"/>
      <c r="K80" s="57"/>
      <c r="T80" s="49"/>
    </row>
    <row r="81" spans="1:26" x14ac:dyDescent="0.3">
      <c r="D81" s="92" t="s">
        <v>536</v>
      </c>
      <c r="E81" s="57"/>
      <c r="F81" s="57"/>
      <c r="G81" s="57"/>
      <c r="H81" s="57"/>
      <c r="I81" s="57"/>
      <c r="J81" s="57"/>
      <c r="K81" s="59"/>
      <c r="T81" s="49"/>
    </row>
    <row r="82" spans="1:26" x14ac:dyDescent="0.3">
      <c r="D82" s="91"/>
      <c r="E82" s="59"/>
      <c r="F82" s="59"/>
      <c r="G82" s="59"/>
      <c r="H82" s="59"/>
      <c r="I82" s="59"/>
      <c r="J82" s="59"/>
      <c r="K82" s="59"/>
      <c r="T82" s="49"/>
    </row>
    <row r="83" spans="1:26" ht="15" customHeight="1" x14ac:dyDescent="0.3">
      <c r="D83" s="91"/>
      <c r="E83" s="59"/>
      <c r="F83" s="59"/>
      <c r="G83" s="59"/>
      <c r="H83" s="1012" t="s">
        <v>471</v>
      </c>
      <c r="I83" s="1012"/>
      <c r="J83" s="1012"/>
      <c r="K83" s="59"/>
      <c r="T83" s="49"/>
    </row>
    <row r="84" spans="1:26" x14ac:dyDescent="0.3">
      <c r="D84" s="91"/>
      <c r="E84" s="86">
        <v>2022</v>
      </c>
      <c r="F84" s="86">
        <v>2023</v>
      </c>
      <c r="G84" s="86">
        <v>2024</v>
      </c>
      <c r="H84" s="86">
        <v>2025</v>
      </c>
      <c r="I84" s="54">
        <v>2026</v>
      </c>
      <c r="J84" s="54">
        <v>2027</v>
      </c>
      <c r="K84" s="54"/>
      <c r="T84" s="49"/>
    </row>
    <row r="85" spans="1:26" x14ac:dyDescent="0.3">
      <c r="D85" s="95" t="s">
        <v>472</v>
      </c>
      <c r="E85" s="96">
        <f>'Pro 3'!E314/1000</f>
        <v>0</v>
      </c>
      <c r="F85" s="96">
        <f>'Pro 3'!F314/1000</f>
        <v>0</v>
      </c>
      <c r="G85" s="96">
        <f>'Pro 3'!G314/1000</f>
        <v>0</v>
      </c>
      <c r="H85" s="96">
        <f>'Pro 3'!H314/1000</f>
        <v>0</v>
      </c>
      <c r="I85" s="96">
        <f>'Pro 3'!I314/1000</f>
        <v>0</v>
      </c>
      <c r="J85" s="96">
        <f>'Pro 3'!J314/1000</f>
        <v>0</v>
      </c>
      <c r="K85" s="96"/>
      <c r="L85" s="52"/>
      <c r="M85" s="52"/>
      <c r="N85" s="52"/>
      <c r="O85" s="52"/>
      <c r="P85" s="52"/>
      <c r="Q85" s="52"/>
      <c r="R85" s="52"/>
      <c r="S85" s="52"/>
      <c r="T85" s="53"/>
    </row>
    <row r="86" spans="1:26" x14ac:dyDescent="0.3">
      <c r="K86" s="59"/>
    </row>
    <row r="87" spans="1:26" x14ac:dyDescent="0.3">
      <c r="D87" s="102" t="s">
        <v>473</v>
      </c>
      <c r="E87" s="45"/>
      <c r="F87" s="45"/>
      <c r="G87" s="45"/>
      <c r="H87" s="45"/>
      <c r="I87" s="45"/>
      <c r="J87" s="45"/>
      <c r="K87" s="107"/>
      <c r="L87" s="45"/>
      <c r="M87" s="45"/>
      <c r="N87" s="45"/>
      <c r="O87" s="45"/>
      <c r="P87" s="45"/>
      <c r="Q87" s="45"/>
      <c r="R87" s="45"/>
      <c r="S87" s="45"/>
      <c r="T87" s="45"/>
      <c r="U87" s="45"/>
      <c r="V87" s="45"/>
      <c r="W87" s="45"/>
      <c r="X87" s="45"/>
      <c r="Y87" s="45"/>
      <c r="Z87" s="46"/>
    </row>
    <row r="88" spans="1:26" ht="13.5" thickBot="1" x14ac:dyDescent="0.35">
      <c r="D88" s="108" t="s">
        <v>474</v>
      </c>
      <c r="E88" s="60" t="s">
        <v>475</v>
      </c>
      <c r="F88" s="60" t="s">
        <v>476</v>
      </c>
      <c r="G88" s="60" t="s">
        <v>477</v>
      </c>
      <c r="H88" s="60" t="s">
        <v>478</v>
      </c>
      <c r="I88" s="60" t="s">
        <v>479</v>
      </c>
      <c r="J88" s="60" t="s">
        <v>480</v>
      </c>
      <c r="K88" s="61" t="s">
        <v>481</v>
      </c>
      <c r="L88" s="61" t="s">
        <v>537</v>
      </c>
      <c r="M88" s="60" t="s">
        <v>482</v>
      </c>
      <c r="N88" s="60" t="s">
        <v>483</v>
      </c>
      <c r="O88" s="60" t="s">
        <v>538</v>
      </c>
      <c r="P88" s="62" t="s">
        <v>484</v>
      </c>
      <c r="Q88" s="62" t="s">
        <v>485</v>
      </c>
      <c r="R88" s="62" t="s">
        <v>486</v>
      </c>
      <c r="S88" s="62" t="s">
        <v>487</v>
      </c>
      <c r="T88" s="62" t="s">
        <v>488</v>
      </c>
      <c r="U88" s="62" t="s">
        <v>489</v>
      </c>
      <c r="X88" s="42">
        <v>2022</v>
      </c>
      <c r="Y88" s="42">
        <v>2023</v>
      </c>
      <c r="Z88" s="49">
        <v>2024</v>
      </c>
    </row>
    <row r="89" spans="1:26" x14ac:dyDescent="0.3">
      <c r="D89" s="109">
        <f>Intro!D98</f>
        <v>0</v>
      </c>
      <c r="E89" s="110" t="s">
        <v>490</v>
      </c>
      <c r="F89" s="110" t="s">
        <v>491</v>
      </c>
      <c r="G89" s="110" t="s">
        <v>491</v>
      </c>
      <c r="H89" s="110" t="s">
        <v>491</v>
      </c>
      <c r="I89" s="110" t="s">
        <v>492</v>
      </c>
      <c r="J89" s="110" t="s">
        <v>492</v>
      </c>
      <c r="K89" s="110"/>
      <c r="L89" s="110" t="s">
        <v>492</v>
      </c>
      <c r="M89" s="110" t="s">
        <v>494</v>
      </c>
      <c r="N89" s="110" t="s">
        <v>495</v>
      </c>
      <c r="O89" s="110" t="s">
        <v>523</v>
      </c>
      <c r="P89" s="63">
        <f>'Pro 2'!G28</f>
        <v>0</v>
      </c>
      <c r="Q89" s="64">
        <f>'Pro 2'!H28</f>
        <v>0</v>
      </c>
      <c r="R89" s="64">
        <f>'Pro 2'!I28</f>
        <v>0</v>
      </c>
      <c r="S89" s="63">
        <f>'Pro 2'!G29</f>
        <v>0</v>
      </c>
      <c r="T89" s="64">
        <f>'Pro 2'!H29</f>
        <v>0</v>
      </c>
      <c r="U89" s="64">
        <f>'Pro 2'!I29</f>
        <v>0</v>
      </c>
      <c r="W89" s="42" t="s">
        <v>539</v>
      </c>
      <c r="X89" s="42">
        <f>'Pro 2'!G143*0.01</f>
        <v>0</v>
      </c>
      <c r="Y89" s="42">
        <f>'Pro 2'!H143*0.01</f>
        <v>0</v>
      </c>
      <c r="Z89" s="49">
        <f>'Pro 2'!I143*0.01</f>
        <v>0</v>
      </c>
    </row>
    <row r="90" spans="1:26" x14ac:dyDescent="0.3">
      <c r="D90" s="111">
        <f t="shared" ref="D90:E92" si="2">D89</f>
        <v>0</v>
      </c>
      <c r="E90" s="112" t="str">
        <f t="shared" si="2"/>
        <v>1 - Producer</v>
      </c>
      <c r="F90" s="112" t="s">
        <v>491</v>
      </c>
      <c r="G90" s="112" t="s">
        <v>491</v>
      </c>
      <c r="H90" s="112" t="s">
        <v>491</v>
      </c>
      <c r="I90" s="112" t="str">
        <f t="shared" ref="I90:J92" si="3">I89</f>
        <v>DOM</v>
      </c>
      <c r="J90" s="112" t="str">
        <f t="shared" si="3"/>
        <v>DOM</v>
      </c>
      <c r="K90" s="112"/>
      <c r="L90" s="112" t="str">
        <f>L89</f>
        <v>DOM</v>
      </c>
      <c r="M90" s="112" t="s">
        <v>494</v>
      </c>
      <c r="N90" s="112" t="s">
        <v>496</v>
      </c>
      <c r="O90" s="112" t="s">
        <v>523</v>
      </c>
      <c r="P90" s="65">
        <f>'Pro 2'!G31</f>
        <v>0</v>
      </c>
      <c r="Q90" s="112">
        <f>'Pro 2'!H31</f>
        <v>0</v>
      </c>
      <c r="R90" s="112">
        <f>'Pro 2'!I31</f>
        <v>0</v>
      </c>
      <c r="S90" s="65">
        <f>'Pro 2'!G32</f>
        <v>0</v>
      </c>
      <c r="T90" s="112">
        <f>'Pro 2'!H32</f>
        <v>0</v>
      </c>
      <c r="U90" s="112">
        <f>'Pro 2'!I32</f>
        <v>0</v>
      </c>
      <c r="Z90" s="49"/>
    </row>
    <row r="91" spans="1:26" x14ac:dyDescent="0.3">
      <c r="D91" s="113">
        <f t="shared" si="2"/>
        <v>0</v>
      </c>
      <c r="E91" s="114" t="str">
        <f t="shared" si="2"/>
        <v>1 - Producer</v>
      </c>
      <c r="F91" s="114" t="s">
        <v>491</v>
      </c>
      <c r="G91" s="114" t="s">
        <v>491</v>
      </c>
      <c r="H91" s="114" t="s">
        <v>491</v>
      </c>
      <c r="I91" s="114" t="str">
        <f t="shared" si="3"/>
        <v>DOM</v>
      </c>
      <c r="J91" s="114" t="str">
        <f t="shared" si="3"/>
        <v>DOM</v>
      </c>
      <c r="K91" s="114"/>
      <c r="L91" s="114" t="str">
        <f>L90</f>
        <v>DOM</v>
      </c>
      <c r="M91" s="114" t="s">
        <v>494</v>
      </c>
      <c r="N91" s="114" t="s">
        <v>495</v>
      </c>
      <c r="O91" s="114" t="s">
        <v>524</v>
      </c>
      <c r="P91" s="66" t="e">
        <f>'Pro 2'!#REF!</f>
        <v>#REF!</v>
      </c>
      <c r="Q91" s="114" t="e">
        <f>'Pro 2'!#REF!</f>
        <v>#REF!</v>
      </c>
      <c r="R91" s="114" t="e">
        <f>'Pro 2'!#REF!</f>
        <v>#REF!</v>
      </c>
      <c r="S91" s="66" t="e">
        <f>'Pro 2'!#REF!</f>
        <v>#REF!</v>
      </c>
      <c r="T91" s="114" t="e">
        <f>'Pro 2'!#REF!</f>
        <v>#REF!</v>
      </c>
      <c r="U91" s="114" t="e">
        <f>'Pro 2'!#REF!</f>
        <v>#REF!</v>
      </c>
      <c r="Z91" s="49"/>
    </row>
    <row r="92" spans="1:26" x14ac:dyDescent="0.3">
      <c r="D92" s="115">
        <f t="shared" si="2"/>
        <v>0</v>
      </c>
      <c r="E92" s="116" t="str">
        <f t="shared" si="2"/>
        <v>1 - Producer</v>
      </c>
      <c r="F92" s="116" t="s">
        <v>491</v>
      </c>
      <c r="G92" s="116" t="s">
        <v>491</v>
      </c>
      <c r="H92" s="116" t="s">
        <v>491</v>
      </c>
      <c r="I92" s="116" t="str">
        <f t="shared" si="3"/>
        <v>DOM</v>
      </c>
      <c r="J92" s="116" t="str">
        <f t="shared" si="3"/>
        <v>DOM</v>
      </c>
      <c r="K92" s="116"/>
      <c r="L92" s="116" t="str">
        <f>L91</f>
        <v>DOM</v>
      </c>
      <c r="M92" s="116" t="s">
        <v>494</v>
      </c>
      <c r="N92" s="116" t="s">
        <v>496</v>
      </c>
      <c r="O92" s="116" t="s">
        <v>524</v>
      </c>
      <c r="P92" s="117" t="e">
        <f>'Pro 2'!#REF!</f>
        <v>#REF!</v>
      </c>
      <c r="Q92" s="116" t="e">
        <f>'Pro 2'!#REF!</f>
        <v>#REF!</v>
      </c>
      <c r="R92" s="116" t="e">
        <f>'Pro 2'!#REF!</f>
        <v>#REF!</v>
      </c>
      <c r="S92" s="117" t="e">
        <f>'Pro 2'!#REF!</f>
        <v>#REF!</v>
      </c>
      <c r="T92" s="116" t="e">
        <f>'Pro 2'!#REF!</f>
        <v>#REF!</v>
      </c>
      <c r="U92" s="116" t="e">
        <f>'Pro 2'!#REF!</f>
        <v>#REF!</v>
      </c>
      <c r="V92" s="52"/>
      <c r="W92" s="52"/>
      <c r="X92" s="52"/>
      <c r="Y92" s="52"/>
      <c r="Z92" s="53"/>
    </row>
    <row r="93" spans="1:26" x14ac:dyDescent="0.3">
      <c r="L93" s="59"/>
    </row>
    <row r="94" spans="1:26" ht="13.5" thickBot="1" x14ac:dyDescent="0.35">
      <c r="D94" s="102" t="s">
        <v>497</v>
      </c>
      <c r="E94" s="45"/>
      <c r="F94" s="45"/>
      <c r="G94" s="45"/>
      <c r="H94" s="45"/>
      <c r="I94" s="45"/>
      <c r="J94" s="45"/>
      <c r="K94" s="45"/>
      <c r="L94" s="45"/>
      <c r="M94" s="45"/>
      <c r="N94" s="46"/>
    </row>
    <row r="95" spans="1:26" ht="15" customHeight="1" x14ac:dyDescent="0.3">
      <c r="A95" s="42" t="s">
        <v>541</v>
      </c>
      <c r="D95" s="118"/>
      <c r="E95" s="67"/>
      <c r="F95" s="67"/>
      <c r="G95" s="67"/>
      <c r="H95" s="67"/>
      <c r="I95" s="1010" t="s">
        <v>540</v>
      </c>
      <c r="J95" s="1010"/>
      <c r="K95" s="1010"/>
      <c r="L95" s="1010" t="s">
        <v>542</v>
      </c>
      <c r="M95" s="1010"/>
      <c r="N95" s="1011"/>
    </row>
    <row r="96" spans="1:26" ht="12.75" customHeight="1" x14ac:dyDescent="0.3">
      <c r="D96" s="119" t="s">
        <v>474</v>
      </c>
      <c r="E96" s="120" t="s">
        <v>498</v>
      </c>
      <c r="F96" s="120" t="s">
        <v>499</v>
      </c>
      <c r="G96" s="120" t="s">
        <v>500</v>
      </c>
      <c r="H96" s="120" t="s">
        <v>501</v>
      </c>
      <c r="I96" s="121">
        <v>2022</v>
      </c>
      <c r="J96" s="121">
        <v>2023</v>
      </c>
      <c r="K96" s="121">
        <v>2024</v>
      </c>
      <c r="L96" s="121">
        <f>I96</f>
        <v>2022</v>
      </c>
      <c r="M96" s="121">
        <f>J96</f>
        <v>2023</v>
      </c>
      <c r="N96" s="122">
        <f>K96</f>
        <v>2024</v>
      </c>
    </row>
    <row r="97" spans="4:30" x14ac:dyDescent="0.3">
      <c r="D97" s="123">
        <f>D89</f>
        <v>0</v>
      </c>
      <c r="E97" s="124" t="s">
        <v>490</v>
      </c>
      <c r="F97" s="124" t="s">
        <v>433</v>
      </c>
      <c r="G97" s="124" t="s">
        <v>502</v>
      </c>
      <c r="H97" s="68" t="s">
        <v>503</v>
      </c>
      <c r="I97" s="42">
        <f>F8*L97*0.01</f>
        <v>0</v>
      </c>
      <c r="J97" s="42">
        <f t="shared" ref="J97:K101" si="4">G8*M97*0.01</f>
        <v>0</v>
      </c>
      <c r="K97" s="42">
        <f t="shared" si="4"/>
        <v>0</v>
      </c>
      <c r="L97" s="42">
        <f>'Pro 2'!G206</f>
        <v>0</v>
      </c>
      <c r="M97" s="42">
        <f>'Pro 2'!H206</f>
        <v>0</v>
      </c>
      <c r="N97" s="49">
        <f>'Pro 2'!I206</f>
        <v>0</v>
      </c>
    </row>
    <row r="98" spans="4:30" x14ac:dyDescent="0.3">
      <c r="D98" s="125">
        <f>D97</f>
        <v>0</v>
      </c>
      <c r="E98" s="126" t="s">
        <v>490</v>
      </c>
      <c r="F98" s="126" t="str">
        <f t="shared" ref="F98:F101" si="5">F97</f>
        <v>Domestic Sales</v>
      </c>
      <c r="G98" s="126" t="s">
        <v>504</v>
      </c>
      <c r="H98" s="69" t="s">
        <v>505</v>
      </c>
      <c r="I98" s="42">
        <f t="shared" ref="I98:I101" si="6">F9*L98*0.01</f>
        <v>0</v>
      </c>
      <c r="J98" s="42">
        <f t="shared" si="4"/>
        <v>0</v>
      </c>
      <c r="K98" s="42">
        <f t="shared" si="4"/>
        <v>0</v>
      </c>
      <c r="L98" s="42">
        <f>'Pro 2'!G207</f>
        <v>0</v>
      </c>
      <c r="M98" s="42">
        <f>'Pro 2'!H207</f>
        <v>0</v>
      </c>
      <c r="N98" s="49">
        <f>'Pro 2'!I207</f>
        <v>0</v>
      </c>
    </row>
    <row r="99" spans="4:30" x14ac:dyDescent="0.3">
      <c r="D99" s="125">
        <f t="shared" ref="D99:D101" si="7">D98</f>
        <v>0</v>
      </c>
      <c r="E99" s="126" t="s">
        <v>490</v>
      </c>
      <c r="F99" s="126" t="str">
        <f t="shared" si="5"/>
        <v>Domestic Sales</v>
      </c>
      <c r="G99" s="126" t="s">
        <v>506</v>
      </c>
      <c r="H99" s="69" t="s">
        <v>507</v>
      </c>
      <c r="I99" s="42">
        <f t="shared" si="6"/>
        <v>0</v>
      </c>
      <c r="J99" s="42">
        <f t="shared" si="4"/>
        <v>0</v>
      </c>
      <c r="K99" s="42">
        <f t="shared" si="4"/>
        <v>0</v>
      </c>
      <c r="L99" s="42">
        <f>'Pro 2'!G208</f>
        <v>0</v>
      </c>
      <c r="M99" s="42">
        <f>'Pro 2'!H208</f>
        <v>0</v>
      </c>
      <c r="N99" s="49">
        <f>'Pro 2'!I208</f>
        <v>0</v>
      </c>
    </row>
    <row r="100" spans="4:30" x14ac:dyDescent="0.3">
      <c r="D100" s="125">
        <f t="shared" si="7"/>
        <v>0</v>
      </c>
      <c r="E100" s="126" t="s">
        <v>490</v>
      </c>
      <c r="F100" s="126" t="str">
        <f t="shared" si="5"/>
        <v>Domestic Sales</v>
      </c>
      <c r="G100" s="126" t="s">
        <v>508</v>
      </c>
      <c r="H100" s="69" t="s">
        <v>509</v>
      </c>
      <c r="I100" s="42">
        <f t="shared" si="6"/>
        <v>0</v>
      </c>
      <c r="J100" s="42">
        <f t="shared" si="4"/>
        <v>0</v>
      </c>
      <c r="K100" s="42">
        <f t="shared" si="4"/>
        <v>0</v>
      </c>
      <c r="L100" s="42">
        <f>'Pro 2'!G209</f>
        <v>0</v>
      </c>
      <c r="M100" s="42">
        <f>'Pro 2'!H209</f>
        <v>0</v>
      </c>
      <c r="N100" s="49">
        <f>'Pro 2'!I209</f>
        <v>0</v>
      </c>
    </row>
    <row r="101" spans="4:30" x14ac:dyDescent="0.3">
      <c r="D101" s="127">
        <f t="shared" si="7"/>
        <v>0</v>
      </c>
      <c r="E101" s="128" t="s">
        <v>490</v>
      </c>
      <c r="F101" s="128" t="str">
        <f t="shared" si="5"/>
        <v>Domestic Sales</v>
      </c>
      <c r="G101" s="128" t="s">
        <v>510</v>
      </c>
      <c r="H101" s="129" t="s">
        <v>511</v>
      </c>
      <c r="I101" s="52">
        <f t="shared" si="6"/>
        <v>0</v>
      </c>
      <c r="J101" s="52">
        <f t="shared" si="4"/>
        <v>0</v>
      </c>
      <c r="K101" s="52">
        <f t="shared" si="4"/>
        <v>0</v>
      </c>
      <c r="L101" s="52">
        <f>'Pro 2'!G210</f>
        <v>0</v>
      </c>
      <c r="M101" s="52">
        <f>'Pro 2'!H210</f>
        <v>0</v>
      </c>
      <c r="N101" s="53">
        <f>'Pro 2'!I210</f>
        <v>0</v>
      </c>
    </row>
    <row r="104" spans="4:30" x14ac:dyDescent="0.3">
      <c r="D104" s="102" t="s">
        <v>543</v>
      </c>
      <c r="E104" s="45"/>
      <c r="F104" s="45"/>
      <c r="G104" s="45"/>
      <c r="H104" s="45"/>
      <c r="I104" s="45"/>
      <c r="J104" s="45"/>
      <c r="K104" s="45"/>
      <c r="L104" s="45"/>
      <c r="M104" s="45"/>
      <c r="N104" s="45"/>
      <c r="O104" s="45"/>
      <c r="P104" s="1006" t="s">
        <v>527</v>
      </c>
      <c r="Q104" s="1006"/>
      <c r="R104" s="1006"/>
      <c r="S104" s="1006"/>
      <c r="T104" s="1006"/>
      <c r="U104" s="1006"/>
      <c r="V104" s="1006"/>
      <c r="W104" s="1006" t="s">
        <v>553</v>
      </c>
      <c r="X104" s="1006"/>
      <c r="Y104" s="1006"/>
      <c r="Z104" s="1006"/>
      <c r="AA104" s="1006"/>
      <c r="AB104" s="1006"/>
      <c r="AC104" s="1006"/>
      <c r="AD104" s="1007"/>
    </row>
    <row r="105" spans="4:30" ht="26" x14ac:dyDescent="0.3">
      <c r="D105" s="130" t="s">
        <v>474</v>
      </c>
      <c r="E105" s="70" t="s">
        <v>475</v>
      </c>
      <c r="F105" s="70" t="s">
        <v>478</v>
      </c>
      <c r="G105" s="70" t="s">
        <v>480</v>
      </c>
      <c r="H105" s="70" t="s">
        <v>481</v>
      </c>
      <c r="I105" s="71" t="s">
        <v>544</v>
      </c>
      <c r="J105" s="71" t="s">
        <v>537</v>
      </c>
      <c r="K105" s="70" t="s">
        <v>512</v>
      </c>
      <c r="L105" s="71" t="s">
        <v>513</v>
      </c>
      <c r="M105" s="70" t="s">
        <v>514</v>
      </c>
      <c r="N105" s="71" t="s">
        <v>482</v>
      </c>
      <c r="O105" s="72" t="s">
        <v>545</v>
      </c>
      <c r="P105" s="72" t="s">
        <v>546</v>
      </c>
      <c r="Q105" s="72" t="s">
        <v>547</v>
      </c>
      <c r="R105" s="72" t="s">
        <v>548</v>
      </c>
      <c r="S105" s="72" t="s">
        <v>549</v>
      </c>
      <c r="T105" s="72" t="s">
        <v>550</v>
      </c>
      <c r="U105" s="72" t="s">
        <v>551</v>
      </c>
      <c r="V105" s="73" t="s">
        <v>552</v>
      </c>
      <c r="W105" s="72" t="s">
        <v>545</v>
      </c>
      <c r="X105" s="72" t="s">
        <v>546</v>
      </c>
      <c r="Y105" s="72" t="s">
        <v>547</v>
      </c>
      <c r="Z105" s="72" t="s">
        <v>548</v>
      </c>
      <c r="AA105" s="72" t="s">
        <v>549</v>
      </c>
      <c r="AB105" s="72" t="s">
        <v>550</v>
      </c>
      <c r="AC105" s="72" t="s">
        <v>551</v>
      </c>
      <c r="AD105" s="131" t="s">
        <v>552</v>
      </c>
    </row>
    <row r="106" spans="4:30" x14ac:dyDescent="0.3">
      <c r="D106" s="132">
        <f>D97</f>
        <v>0</v>
      </c>
      <c r="E106" s="74" t="s">
        <v>490</v>
      </c>
      <c r="F106" s="74" t="s">
        <v>515</v>
      </c>
      <c r="G106" s="74" t="s">
        <v>492</v>
      </c>
      <c r="H106" s="74" t="s">
        <v>492</v>
      </c>
      <c r="I106" s="74" t="s">
        <v>492</v>
      </c>
      <c r="J106" s="74" t="s">
        <v>492</v>
      </c>
      <c r="K106" s="75" t="s">
        <v>516</v>
      </c>
      <c r="L106" s="74">
        <f>'Pro 2'!C219</f>
        <v>0</v>
      </c>
      <c r="M106" s="74" t="e">
        <v>#N/A</v>
      </c>
      <c r="N106" s="74" t="s">
        <v>493</v>
      </c>
      <c r="O106" s="76">
        <f>'Pro 2'!E231</f>
        <v>0</v>
      </c>
      <c r="P106" s="76">
        <f>'Pro 2'!F231</f>
        <v>0</v>
      </c>
      <c r="Q106" s="76">
        <f>'Pro 2'!G231</f>
        <v>0</v>
      </c>
      <c r="R106" s="76">
        <f>'Pro 2'!H231</f>
        <v>0</v>
      </c>
      <c r="S106" s="76">
        <f>'Pro 2'!I231</f>
        <v>0</v>
      </c>
      <c r="T106" s="76">
        <f>'Pro 2'!J231</f>
        <v>0</v>
      </c>
      <c r="U106" s="76">
        <f>'Pro 2'!K231</f>
        <v>0</v>
      </c>
      <c r="V106" s="77">
        <f>'Pro 2'!L231</f>
        <v>0</v>
      </c>
      <c r="W106" s="76">
        <f>'Pro 2'!E232</f>
        <v>0</v>
      </c>
      <c r="X106" s="76">
        <f>'Pro 2'!F232</f>
        <v>0</v>
      </c>
      <c r="Y106" s="76">
        <f>'Pro 2'!G232</f>
        <v>0</v>
      </c>
      <c r="Z106" s="76">
        <f>'Pro 2'!H232</f>
        <v>0</v>
      </c>
      <c r="AA106" s="76">
        <f>'Pro 2'!I232</f>
        <v>0</v>
      </c>
      <c r="AB106" s="76">
        <f>'Pro 2'!J232</f>
        <v>0</v>
      </c>
      <c r="AC106" s="76">
        <f>'Pro 2'!K232</f>
        <v>0</v>
      </c>
      <c r="AD106" s="133">
        <f>'Pro 2'!L232</f>
        <v>0</v>
      </c>
    </row>
    <row r="107" spans="4:30" x14ac:dyDescent="0.3">
      <c r="D107" s="134">
        <f>D106</f>
        <v>0</v>
      </c>
      <c r="E107" s="78" t="s">
        <v>490</v>
      </c>
      <c r="F107" s="78" t="s">
        <v>515</v>
      </c>
      <c r="G107" s="78" t="s">
        <v>492</v>
      </c>
      <c r="H107" s="78" t="s">
        <v>492</v>
      </c>
      <c r="I107" s="78" t="s">
        <v>492</v>
      </c>
      <c r="J107" s="78" t="str">
        <f>J106</f>
        <v>DOM</v>
      </c>
      <c r="K107" s="79" t="s">
        <v>517</v>
      </c>
      <c r="L107" s="78">
        <f>'Pro 2'!E220</f>
        <v>0</v>
      </c>
      <c r="M107" s="78" t="e">
        <v>#N/A</v>
      </c>
      <c r="N107" s="78" t="str">
        <f t="shared" ref="N107:N110" si="8">N106</f>
        <v>Dom</v>
      </c>
      <c r="O107" s="80">
        <f>'Pro 2'!E235</f>
        <v>0</v>
      </c>
      <c r="P107" s="80">
        <f>'Pro 2'!F235</f>
        <v>0</v>
      </c>
      <c r="Q107" s="80">
        <f>'Pro 2'!G235</f>
        <v>0</v>
      </c>
      <c r="R107" s="80">
        <f>'Pro 2'!H235</f>
        <v>0</v>
      </c>
      <c r="S107" s="80">
        <f>'Pro 2'!I235</f>
        <v>0</v>
      </c>
      <c r="T107" s="80">
        <f>'Pro 2'!J235</f>
        <v>0</v>
      </c>
      <c r="U107" s="80">
        <f>'Pro 2'!K235</f>
        <v>0</v>
      </c>
      <c r="V107" s="81">
        <f>'Pro 2'!L235</f>
        <v>0</v>
      </c>
      <c r="W107" s="80">
        <f>'Pro 2'!E236</f>
        <v>0</v>
      </c>
      <c r="X107" s="80">
        <f>'Pro 2'!F236</f>
        <v>0</v>
      </c>
      <c r="Y107" s="80">
        <f>'Pro 2'!G236</f>
        <v>0</v>
      </c>
      <c r="Z107" s="80">
        <f>'Pro 2'!H236</f>
        <v>0</v>
      </c>
      <c r="AA107" s="80">
        <f>'Pro 2'!I236</f>
        <v>0</v>
      </c>
      <c r="AB107" s="80">
        <f>'Pro 2'!J236</f>
        <v>0</v>
      </c>
      <c r="AC107" s="80">
        <f>'Pro 2'!K236</f>
        <v>0</v>
      </c>
      <c r="AD107" s="135">
        <f>'Pro 2'!L236</f>
        <v>0</v>
      </c>
    </row>
    <row r="108" spans="4:30" x14ac:dyDescent="0.3">
      <c r="D108" s="134">
        <f t="shared" ref="D108:D110" si="9">D107</f>
        <v>0</v>
      </c>
      <c r="E108" s="82" t="s">
        <v>490</v>
      </c>
      <c r="F108" s="82" t="s">
        <v>515</v>
      </c>
      <c r="G108" s="82" t="s">
        <v>492</v>
      </c>
      <c r="H108" s="82" t="s">
        <v>492</v>
      </c>
      <c r="I108" s="82" t="s">
        <v>492</v>
      </c>
      <c r="J108" s="82" t="str">
        <f>J107</f>
        <v>DOM</v>
      </c>
      <c r="K108" s="83" t="s">
        <v>518</v>
      </c>
      <c r="L108" s="82">
        <f>'Pro 2'!E221</f>
        <v>0</v>
      </c>
      <c r="M108" s="82" t="e">
        <v>#N/A</v>
      </c>
      <c r="N108" s="82" t="str">
        <f t="shared" si="8"/>
        <v>Dom</v>
      </c>
      <c r="O108" s="84">
        <f>'Pro 2'!E239</f>
        <v>0</v>
      </c>
      <c r="P108" s="84">
        <f>'Pro 2'!F239</f>
        <v>0</v>
      </c>
      <c r="Q108" s="84">
        <f>'Pro 2'!G239</f>
        <v>0</v>
      </c>
      <c r="R108" s="84">
        <f>'Pro 2'!H239</f>
        <v>0</v>
      </c>
      <c r="S108" s="84">
        <f>'Pro 2'!I239</f>
        <v>0</v>
      </c>
      <c r="T108" s="84">
        <f>'Pro 2'!J239</f>
        <v>0</v>
      </c>
      <c r="U108" s="84">
        <f>'Pro 2'!K239</f>
        <v>0</v>
      </c>
      <c r="V108" s="85">
        <f>'Pro 2'!L239</f>
        <v>0</v>
      </c>
      <c r="W108" s="84">
        <f>'Pro 2'!E240</f>
        <v>0</v>
      </c>
      <c r="X108" s="84">
        <f>'Pro 2'!F240</f>
        <v>0</v>
      </c>
      <c r="Y108" s="84">
        <f>'Pro 2'!G240</f>
        <v>0</v>
      </c>
      <c r="Z108" s="84">
        <f>'Pro 2'!H240</f>
        <v>0</v>
      </c>
      <c r="AA108" s="84">
        <f>'Pro 2'!I240</f>
        <v>0</v>
      </c>
      <c r="AB108" s="84">
        <f>'Pro 2'!J240</f>
        <v>0</v>
      </c>
      <c r="AC108" s="84">
        <f>'Pro 2'!K240</f>
        <v>0</v>
      </c>
      <c r="AD108" s="136">
        <f>'Pro 2'!L240</f>
        <v>0</v>
      </c>
    </row>
    <row r="109" spans="4:30" x14ac:dyDescent="0.3">
      <c r="D109" s="134">
        <f t="shared" si="9"/>
        <v>0</v>
      </c>
      <c r="E109" s="78" t="s">
        <v>490</v>
      </c>
      <c r="F109" s="78" t="s">
        <v>515</v>
      </c>
      <c r="G109" s="78" t="s">
        <v>492</v>
      </c>
      <c r="H109" s="78" t="s">
        <v>492</v>
      </c>
      <c r="I109" s="78" t="s">
        <v>492</v>
      </c>
      <c r="J109" s="78" t="str">
        <f>J108</f>
        <v>DOM</v>
      </c>
      <c r="K109" s="79" t="s">
        <v>519</v>
      </c>
      <c r="L109" s="78">
        <f>'Pro 2'!E222</f>
        <v>0</v>
      </c>
      <c r="M109" s="78" t="e">
        <v>#N/A</v>
      </c>
      <c r="N109" s="78" t="str">
        <f t="shared" si="8"/>
        <v>Dom</v>
      </c>
      <c r="O109" s="80">
        <f>'Pro 2'!E243</f>
        <v>0</v>
      </c>
      <c r="P109" s="80">
        <f>'Pro 2'!F243</f>
        <v>0</v>
      </c>
      <c r="Q109" s="80">
        <f>'Pro 2'!G243</f>
        <v>0</v>
      </c>
      <c r="R109" s="80">
        <f>'Pro 2'!H243</f>
        <v>0</v>
      </c>
      <c r="S109" s="80">
        <f>'Pro 2'!I243</f>
        <v>0</v>
      </c>
      <c r="T109" s="80">
        <f>'Pro 2'!J243</f>
        <v>0</v>
      </c>
      <c r="U109" s="80">
        <f>'Pro 2'!K243</f>
        <v>0</v>
      </c>
      <c r="V109" s="81">
        <f>'Pro 2'!L243</f>
        <v>0</v>
      </c>
      <c r="W109" s="80">
        <f>'Pro 2'!E244</f>
        <v>0</v>
      </c>
      <c r="X109" s="80">
        <f>'Pro 2'!F244</f>
        <v>0</v>
      </c>
      <c r="Y109" s="80">
        <f>'Pro 2'!G244</f>
        <v>0</v>
      </c>
      <c r="Z109" s="80">
        <f>'Pro 2'!H244</f>
        <v>0</v>
      </c>
      <c r="AA109" s="80">
        <f>'Pro 2'!I244</f>
        <v>0</v>
      </c>
      <c r="AB109" s="80">
        <f>'Pro 2'!J244</f>
        <v>0</v>
      </c>
      <c r="AC109" s="80">
        <f>'Pro 2'!K244</f>
        <v>0</v>
      </c>
      <c r="AD109" s="135">
        <f>'Pro 2'!L244</f>
        <v>0</v>
      </c>
    </row>
    <row r="110" spans="4:30" x14ac:dyDescent="0.3">
      <c r="D110" s="137">
        <f t="shared" si="9"/>
        <v>0</v>
      </c>
      <c r="E110" s="138" t="s">
        <v>490</v>
      </c>
      <c r="F110" s="138" t="s">
        <v>515</v>
      </c>
      <c r="G110" s="138" t="s">
        <v>492</v>
      </c>
      <c r="H110" s="138" t="s">
        <v>492</v>
      </c>
      <c r="I110" s="138" t="s">
        <v>492</v>
      </c>
      <c r="J110" s="138" t="str">
        <f>J109</f>
        <v>DOM</v>
      </c>
      <c r="K110" s="139" t="s">
        <v>520</v>
      </c>
      <c r="L110" s="138">
        <f>'Pro 2'!E223</f>
        <v>0</v>
      </c>
      <c r="M110" s="138" t="e">
        <v>#N/A</v>
      </c>
      <c r="N110" s="138" t="str">
        <f t="shared" si="8"/>
        <v>Dom</v>
      </c>
      <c r="O110" s="140">
        <f>'Pro 2'!E247</f>
        <v>0</v>
      </c>
      <c r="P110" s="140">
        <f>'Pro 2'!F247</f>
        <v>0</v>
      </c>
      <c r="Q110" s="140">
        <f>'Pro 2'!G247</f>
        <v>0</v>
      </c>
      <c r="R110" s="140">
        <f>'Pro 2'!H247</f>
        <v>0</v>
      </c>
      <c r="S110" s="140">
        <f>'Pro 2'!I247</f>
        <v>0</v>
      </c>
      <c r="T110" s="140">
        <f>'Pro 2'!J247</f>
        <v>0</v>
      </c>
      <c r="U110" s="140">
        <f>'Pro 2'!K247</f>
        <v>0</v>
      </c>
      <c r="V110" s="141">
        <f>'Pro 2'!L247</f>
        <v>0</v>
      </c>
      <c r="W110" s="140">
        <f>'Pro 2'!E248</f>
        <v>0</v>
      </c>
      <c r="X110" s="140">
        <f>'Pro 2'!F248</f>
        <v>0</v>
      </c>
      <c r="Y110" s="140">
        <f>'Pro 2'!G248</f>
        <v>0</v>
      </c>
      <c r="Z110" s="140">
        <f>'Pro 2'!H248</f>
        <v>0</v>
      </c>
      <c r="AA110" s="140">
        <f>'Pro 2'!I248</f>
        <v>0</v>
      </c>
      <c r="AB110" s="140">
        <f>'Pro 2'!J248</f>
        <v>0</v>
      </c>
      <c r="AC110" s="140">
        <f>'Pro 2'!K248</f>
        <v>0</v>
      </c>
      <c r="AD110" s="142">
        <f>'Pro 2'!L248</f>
        <v>0</v>
      </c>
    </row>
  </sheetData>
  <sheetProtection algorithmName="SHA-512" hashValue="edhUBB7JSpD450aMZQvKu+sHV2+oQJOHmKuePUPs6C5ufCHDhNfB3mzNWb3aZz/d/90ikNr7OigDYUo2aG21VA==" saltValue="FrsQdmqoH5zdJ325MOxBcw==" spinCount="100000" sheet="1" objects="1" scenarios="1" selectLockedCells="1"/>
  <mergeCells count="8">
    <mergeCell ref="P104:V104"/>
    <mergeCell ref="W104:AD104"/>
    <mergeCell ref="R43:T43"/>
    <mergeCell ref="I95:K95"/>
    <mergeCell ref="L95:N95"/>
    <mergeCell ref="H83:J83"/>
    <mergeCell ref="L43:N43"/>
    <mergeCell ref="O43:Q4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D856-5D57-4B5E-A312-4184C6C7D617}">
  <sheetPr>
    <tabColor rgb="FF00B0F0"/>
    <pageSetUpPr fitToPage="1"/>
  </sheetPr>
  <dimension ref="A1:R56"/>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8" width="9.453125" style="2" customWidth="1"/>
    <col min="19" max="19" width="9.08984375" style="2" customWidth="1"/>
    <col min="20" max="16384" width="9.08984375" style="2"/>
  </cols>
  <sheetData>
    <row r="1" spans="1:16" x14ac:dyDescent="0.35">
      <c r="O1" s="2" t="s">
        <v>715</v>
      </c>
      <c r="P1" s="2" t="s">
        <v>715</v>
      </c>
    </row>
    <row r="2" spans="1:16" x14ac:dyDescent="0.35">
      <c r="B2" s="20" t="s">
        <v>0</v>
      </c>
      <c r="C2" s="20"/>
      <c r="D2" s="20"/>
      <c r="O2" s="3" t="s">
        <v>164</v>
      </c>
      <c r="P2" s="3" t="s">
        <v>165</v>
      </c>
    </row>
    <row r="3" spans="1:16" x14ac:dyDescent="0.35">
      <c r="B3" s="21"/>
      <c r="C3" s="21"/>
      <c r="D3" s="21"/>
      <c r="O3" s="8" t="s">
        <v>0</v>
      </c>
      <c r="P3" s="8" t="s">
        <v>0</v>
      </c>
    </row>
    <row r="4" spans="1:16" s="8" customFormat="1" x14ac:dyDescent="0.35">
      <c r="A4" s="13"/>
      <c r="B4" s="614" t="str">
        <f>IF(Intro!$G$21="English",O4,P4)</f>
        <v>QUESTIONNAIRE À L’INTENTION DES PRODUCTEURS</v>
      </c>
      <c r="C4" s="615"/>
      <c r="D4" s="615"/>
      <c r="E4" s="615"/>
      <c r="F4" s="615"/>
      <c r="G4" s="615"/>
      <c r="H4" s="615"/>
      <c r="I4" s="615"/>
      <c r="J4" s="615"/>
      <c r="K4" s="615"/>
      <c r="L4" s="616"/>
      <c r="M4" s="15"/>
      <c r="N4" s="15"/>
      <c r="O4" s="14" t="s">
        <v>1033</v>
      </c>
      <c r="P4" s="196" t="s">
        <v>629</v>
      </c>
    </row>
    <row r="5" spans="1:16" s="8" customFormat="1" x14ac:dyDescent="0.35">
      <c r="A5" s="13"/>
      <c r="B5" s="617" t="str">
        <f>Intro!B5</f>
        <v>NQ-2026-003</v>
      </c>
      <c r="C5" s="618"/>
      <c r="D5" s="618"/>
      <c r="E5" s="618"/>
      <c r="F5" s="618"/>
      <c r="G5" s="618"/>
      <c r="H5" s="618"/>
      <c r="I5" s="618"/>
      <c r="J5" s="618"/>
      <c r="K5" s="618"/>
      <c r="L5" s="619"/>
      <c r="M5" s="15"/>
      <c r="N5" s="15"/>
      <c r="O5" s="14"/>
      <c r="P5" s="14"/>
    </row>
    <row r="6" spans="1:16" s="9" customFormat="1" x14ac:dyDescent="0.35">
      <c r="A6" s="13"/>
      <c r="B6" s="622" t="str">
        <f>UPPER(IF(Intro!$G$21="English",Variables!B3,Variables!C3))</f>
        <v>CÂBLES DE BÂTIMENTS NON ARMÉS</v>
      </c>
      <c r="C6" s="623"/>
      <c r="D6" s="623"/>
      <c r="E6" s="623"/>
      <c r="F6" s="623"/>
      <c r="G6" s="623"/>
      <c r="H6" s="623"/>
      <c r="I6" s="623"/>
      <c r="J6" s="623"/>
      <c r="K6" s="623"/>
      <c r="L6" s="624"/>
      <c r="M6" s="14"/>
      <c r="N6" s="14"/>
      <c r="O6" s="10"/>
      <c r="P6" s="10"/>
    </row>
    <row r="7" spans="1:16" s="9" customFormat="1" x14ac:dyDescent="0.35">
      <c r="A7" s="13"/>
      <c r="B7" s="22"/>
      <c r="C7" s="22"/>
      <c r="D7" s="22"/>
      <c r="E7" s="23"/>
      <c r="F7" s="23"/>
      <c r="G7" s="23"/>
      <c r="H7" s="23"/>
      <c r="I7" s="23"/>
      <c r="J7" s="23"/>
      <c r="K7" s="23"/>
      <c r="L7" s="23"/>
      <c r="O7" s="10"/>
      <c r="P7" s="10"/>
    </row>
    <row r="8" spans="1:16" s="8" customFormat="1" x14ac:dyDescent="0.35">
      <c r="A8" s="13"/>
      <c r="B8" s="599" t="str">
        <f>IF(Intro!$G$21="English",O8,P8)</f>
        <v>APERÇU DU QUESTIONNAIRE</v>
      </c>
      <c r="C8" s="600"/>
      <c r="D8" s="600" t="str">
        <f>UPPER(IF(Intro!$G$21="English",P8,Q8))</f>
        <v/>
      </c>
      <c r="E8" s="600" t="str">
        <f>UPPER(IF(Intro!$G$21="English",Q8,R8))</f>
        <v/>
      </c>
      <c r="F8" s="600" t="str">
        <f>UPPER(IF(Intro!$G$21="English",R8,S8))</f>
        <v/>
      </c>
      <c r="G8" s="600" t="str">
        <f>UPPER(IF(Intro!$G$21="English",S8,T8))</f>
        <v/>
      </c>
      <c r="H8" s="600" t="str">
        <f>UPPER(IF(Intro!$G$21="English",T8,U8))</f>
        <v/>
      </c>
      <c r="I8" s="600" t="str">
        <f>UPPER(IF(Intro!$G$21="English",U8,V8))</f>
        <v/>
      </c>
      <c r="J8" s="600" t="str">
        <f>UPPER(IF(Intro!$G$21="English",V8,W8))</f>
        <v/>
      </c>
      <c r="K8" s="600" t="str">
        <f>UPPER(IF(Intro!$G$21="English",W8,X8))</f>
        <v/>
      </c>
      <c r="L8" s="601" t="str">
        <f>UPPER(IF(Intro!$G$21="English",X8,Y8))</f>
        <v/>
      </c>
      <c r="M8" s="9"/>
      <c r="N8" s="15"/>
      <c r="O8" s="196" t="s">
        <v>630</v>
      </c>
      <c r="P8" s="196" t="s">
        <v>631</v>
      </c>
    </row>
    <row r="9" spans="1:16" x14ac:dyDescent="0.35">
      <c r="B9" s="24"/>
      <c r="C9" s="25"/>
      <c r="D9" s="25"/>
      <c r="E9" s="26"/>
      <c r="F9" s="26"/>
      <c r="G9" s="26"/>
      <c r="H9" s="26"/>
      <c r="I9" s="26"/>
      <c r="J9" s="26"/>
      <c r="K9" s="26"/>
      <c r="L9" s="27"/>
      <c r="M9" s="2"/>
    </row>
    <row r="10" spans="1:16" x14ac:dyDescent="0.35">
      <c r="B10" s="602" t="str">
        <f>IF(Intro!$G$21="English",O10,P10)</f>
        <v xml:space="preserve">Le présent questionnaire est divisé en deux parties :
</v>
      </c>
      <c r="C10" s="603"/>
      <c r="D10" s="603"/>
      <c r="E10" s="603"/>
      <c r="F10" s="603"/>
      <c r="G10" s="603"/>
      <c r="H10" s="603"/>
      <c r="I10" s="603"/>
      <c r="J10" s="603"/>
      <c r="K10" s="603"/>
      <c r="L10" s="604"/>
      <c r="M10" s="2"/>
      <c r="O10" s="2" t="s">
        <v>318</v>
      </c>
      <c r="P10" s="2" t="s">
        <v>319</v>
      </c>
    </row>
    <row r="11" spans="1:16" x14ac:dyDescent="0.35">
      <c r="B11" s="159"/>
      <c r="C11" s="160"/>
      <c r="D11" s="160"/>
      <c r="E11" s="160"/>
      <c r="F11" s="160"/>
      <c r="G11" s="160"/>
      <c r="H11" s="160"/>
      <c r="I11" s="160"/>
      <c r="J11" s="160"/>
      <c r="K11" s="160"/>
      <c r="L11" s="161"/>
      <c r="M11" s="2"/>
    </row>
    <row r="12" spans="1:16" x14ac:dyDescent="0.35">
      <c r="B12" s="602"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603"/>
      <c r="D12" s="603"/>
      <c r="E12" s="603"/>
      <c r="F12" s="603"/>
      <c r="G12" s="603"/>
      <c r="H12" s="603"/>
      <c r="I12" s="603"/>
      <c r="J12" s="603"/>
      <c r="K12" s="603"/>
      <c r="L12" s="604"/>
      <c r="M12" s="2"/>
      <c r="O12" s="2" t="s">
        <v>321</v>
      </c>
      <c r="P12" s="2" t="s">
        <v>322</v>
      </c>
    </row>
    <row r="13" spans="1:16" x14ac:dyDescent="0.35">
      <c r="B13" s="602"/>
      <c r="C13" s="603"/>
      <c r="D13" s="603"/>
      <c r="E13" s="603"/>
      <c r="F13" s="603"/>
      <c r="G13" s="603"/>
      <c r="H13" s="603"/>
      <c r="I13" s="603"/>
      <c r="J13" s="603"/>
      <c r="K13" s="603"/>
      <c r="L13" s="604"/>
      <c r="M13" s="2"/>
    </row>
    <row r="14" spans="1:16" x14ac:dyDescent="0.35">
      <c r="B14" s="159"/>
      <c r="C14" s="160"/>
      <c r="D14" s="160"/>
      <c r="E14" s="160"/>
      <c r="F14" s="160"/>
      <c r="G14" s="160"/>
      <c r="H14" s="160"/>
      <c r="I14" s="160"/>
      <c r="J14" s="160"/>
      <c r="K14" s="160"/>
      <c r="L14" s="161"/>
      <c r="M14" s="2"/>
    </row>
    <row r="15" spans="1:16" x14ac:dyDescent="0.35">
      <c r="B15" s="602"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603"/>
      <c r="D15" s="603"/>
      <c r="E15" s="603"/>
      <c r="F15" s="603"/>
      <c r="G15" s="603"/>
      <c r="H15" s="603"/>
      <c r="I15" s="603"/>
      <c r="J15" s="603"/>
      <c r="K15" s="603"/>
      <c r="L15" s="604"/>
      <c r="M15" s="2"/>
      <c r="O15" s="2" t="s">
        <v>323</v>
      </c>
      <c r="P15" s="2" t="s">
        <v>324</v>
      </c>
    </row>
    <row r="16" spans="1:16" x14ac:dyDescent="0.35">
      <c r="B16" s="602"/>
      <c r="C16" s="603"/>
      <c r="D16" s="603"/>
      <c r="E16" s="603"/>
      <c r="F16" s="603"/>
      <c r="G16" s="603"/>
      <c r="H16" s="603"/>
      <c r="I16" s="603"/>
      <c r="J16" s="603"/>
      <c r="K16" s="603"/>
      <c r="L16" s="604"/>
      <c r="M16" s="2"/>
    </row>
    <row r="17" spans="1:16" x14ac:dyDescent="0.35">
      <c r="B17" s="175"/>
      <c r="C17" s="176"/>
      <c r="D17" s="176"/>
      <c r="E17" s="176"/>
      <c r="F17" s="176"/>
      <c r="G17" s="176"/>
      <c r="H17" s="176"/>
      <c r="I17" s="176"/>
      <c r="J17" s="176"/>
      <c r="K17" s="176"/>
      <c r="L17" s="177"/>
      <c r="M17" s="2"/>
    </row>
    <row r="18" spans="1:16" s="9" customFormat="1" x14ac:dyDescent="0.35">
      <c r="A18" s="13"/>
      <c r="B18" s="22"/>
      <c r="C18" s="22"/>
      <c r="D18" s="22"/>
      <c r="E18" s="23"/>
      <c r="F18" s="23"/>
      <c r="G18" s="23"/>
      <c r="H18" s="23"/>
      <c r="I18" s="23"/>
      <c r="J18" s="23"/>
      <c r="K18" s="23"/>
      <c r="L18" s="23"/>
      <c r="O18" s="10"/>
      <c r="P18" s="10"/>
    </row>
    <row r="19" spans="1:16" s="8" customFormat="1" x14ac:dyDescent="0.35">
      <c r="A19" s="13"/>
      <c r="B19" s="599" t="str">
        <f>(IF(Intro!$G$21="English",O19,P19))</f>
        <v>GLOSSAIRE</v>
      </c>
      <c r="C19" s="600"/>
      <c r="D19" s="600" t="s">
        <v>654</v>
      </c>
      <c r="E19" s="600" t="s">
        <v>659</v>
      </c>
      <c r="F19" s="600" t="s">
        <v>659</v>
      </c>
      <c r="G19" s="600" t="s">
        <v>659</v>
      </c>
      <c r="H19" s="600" t="s">
        <v>659</v>
      </c>
      <c r="I19" s="600" t="s">
        <v>659</v>
      </c>
      <c r="J19" s="600" t="s">
        <v>659</v>
      </c>
      <c r="K19" s="600" t="s">
        <v>659</v>
      </c>
      <c r="L19" s="601" t="s">
        <v>659</v>
      </c>
      <c r="M19" s="9"/>
      <c r="N19" s="15"/>
      <c r="O19" s="14" t="s">
        <v>653</v>
      </c>
      <c r="P19" s="14" t="s">
        <v>654</v>
      </c>
    </row>
    <row r="20" spans="1:16" x14ac:dyDescent="0.35">
      <c r="B20" s="696" t="str">
        <f>IF(Intro!$G$21="English",O20,P20)</f>
        <v>Coût des marchandises fabriquées</v>
      </c>
      <c r="C20" s="697"/>
      <c r="D20" s="690" t="str">
        <f>IF(Intro!$G$21="English",O21,P21)</f>
        <v xml:space="preserve">Les coûts directement liés à la production des marchandises, comme les coûts pour la main-d'œuvre, la matière première et les frais indirects de fabrication. Sont exclues les dépenses indirectes telles que les frais de distribution et les coûts liés à la force de vente. </v>
      </c>
      <c r="E20" s="609"/>
      <c r="F20" s="609"/>
      <c r="G20" s="609"/>
      <c r="H20" s="609"/>
      <c r="I20" s="609"/>
      <c r="J20" s="609"/>
      <c r="K20" s="609"/>
      <c r="L20" s="610"/>
      <c r="M20" s="2"/>
      <c r="O20" s="2" t="s">
        <v>364</v>
      </c>
      <c r="P20" s="2" t="s">
        <v>251</v>
      </c>
    </row>
    <row r="21" spans="1:16" x14ac:dyDescent="0.35">
      <c r="B21" s="696"/>
      <c r="C21" s="697"/>
      <c r="D21" s="690"/>
      <c r="E21" s="609"/>
      <c r="F21" s="609"/>
      <c r="G21" s="609"/>
      <c r="H21" s="609"/>
      <c r="I21" s="609"/>
      <c r="J21" s="609"/>
      <c r="K21" s="609"/>
      <c r="L21" s="610"/>
      <c r="M21" s="2"/>
      <c r="O21" s="2" t="s">
        <v>721</v>
      </c>
      <c r="P21" s="2" t="s">
        <v>722</v>
      </c>
    </row>
    <row r="22" spans="1:16" x14ac:dyDescent="0.35">
      <c r="B22" s="698"/>
      <c r="C22" s="699"/>
      <c r="D22" s="691"/>
      <c r="E22" s="692"/>
      <c r="F22" s="692"/>
      <c r="G22" s="692"/>
      <c r="H22" s="692"/>
      <c r="I22" s="692"/>
      <c r="J22" s="692"/>
      <c r="K22" s="692"/>
      <c r="L22" s="693"/>
      <c r="M22" s="2"/>
    </row>
    <row r="23" spans="1:16" x14ac:dyDescent="0.35">
      <c r="B23" s="694" t="str">
        <f>IF(Intro!$G$21="English",O23,P23)</f>
        <v>Coût des marchandises vendues</v>
      </c>
      <c r="C23" s="695"/>
      <c r="D23" s="687" t="str">
        <f>IF(Intro!$G$21="English",O24,P24)</f>
        <v xml:space="preserve">Des coûts directs associés à la production des marchandises vendues par une entreprise. Ce montant comprend les coûts directement liés à la production des marchandises, comme les coûts pour la main-d'œuvre, la matière première et les frais indirects de fabrication (Coût des marchandises fabriquées). Sont exclues les dépenses indirectes telles que les frais de distribution et les coûts liés à la force de vente. </v>
      </c>
      <c r="E23" s="688"/>
      <c r="F23" s="688"/>
      <c r="G23" s="688"/>
      <c r="H23" s="688"/>
      <c r="I23" s="688"/>
      <c r="J23" s="688"/>
      <c r="K23" s="688"/>
      <c r="L23" s="689"/>
      <c r="M23" s="2"/>
      <c r="O23" s="2" t="s">
        <v>365</v>
      </c>
      <c r="P23" s="2" t="s">
        <v>48</v>
      </c>
    </row>
    <row r="24" spans="1:16" x14ac:dyDescent="0.35">
      <c r="B24" s="696"/>
      <c r="C24" s="697"/>
      <c r="D24" s="690"/>
      <c r="E24" s="609"/>
      <c r="F24" s="609"/>
      <c r="G24" s="609"/>
      <c r="H24" s="609"/>
      <c r="I24" s="609"/>
      <c r="J24" s="609"/>
      <c r="K24" s="609"/>
      <c r="L24" s="610"/>
      <c r="M24" s="2"/>
      <c r="O24" s="2" t="s">
        <v>378</v>
      </c>
      <c r="P24" s="2" t="s">
        <v>693</v>
      </c>
    </row>
    <row r="25" spans="1:16" x14ac:dyDescent="0.35">
      <c r="B25" s="696"/>
      <c r="C25" s="697"/>
      <c r="D25" s="690"/>
      <c r="E25" s="609"/>
      <c r="F25" s="609"/>
      <c r="G25" s="609"/>
      <c r="H25" s="609"/>
      <c r="I25" s="609"/>
      <c r="J25" s="609"/>
      <c r="K25" s="609"/>
      <c r="L25" s="610"/>
      <c r="M25" s="2"/>
    </row>
    <row r="26" spans="1:16" x14ac:dyDescent="0.35">
      <c r="B26" s="698"/>
      <c r="C26" s="699"/>
      <c r="D26" s="691"/>
      <c r="E26" s="692"/>
      <c r="F26" s="692"/>
      <c r="G26" s="692"/>
      <c r="H26" s="692"/>
      <c r="I26" s="692"/>
      <c r="J26" s="692"/>
      <c r="K26" s="692"/>
      <c r="L26" s="693"/>
      <c r="M26" s="2"/>
    </row>
    <row r="27" spans="1:16" x14ac:dyDescent="0.35">
      <c r="B27" s="694" t="str">
        <f>IF(Intro!$G$21="English",O27,P27)</f>
        <v>Coûts de livraison</v>
      </c>
      <c r="C27" s="695"/>
      <c r="D27" s="687" t="str">
        <f>IF(Intro!$G$21="English",O28,P28)</f>
        <v>Le fret, manutention et assurance, engagés par votre entreprise à partir du point d’expédition direct au Canada, et qui sont compris dans le prix de vente, ou une estimation des coûts de livraison engagés par vos clients.</v>
      </c>
      <c r="E27" s="688"/>
      <c r="F27" s="688"/>
      <c r="G27" s="688"/>
      <c r="H27" s="688"/>
      <c r="I27" s="688"/>
      <c r="J27" s="688"/>
      <c r="K27" s="688"/>
      <c r="L27" s="689"/>
      <c r="M27" s="2"/>
      <c r="O27" s="2" t="s">
        <v>716</v>
      </c>
      <c r="P27" s="2" t="s">
        <v>717</v>
      </c>
    </row>
    <row r="28" spans="1:16" x14ac:dyDescent="0.35">
      <c r="B28" s="696"/>
      <c r="C28" s="697"/>
      <c r="D28" s="690"/>
      <c r="E28" s="609"/>
      <c r="F28" s="609"/>
      <c r="G28" s="609"/>
      <c r="H28" s="609"/>
      <c r="I28" s="609"/>
      <c r="J28" s="609"/>
      <c r="K28" s="609"/>
      <c r="L28" s="610"/>
      <c r="M28" s="2"/>
      <c r="O28" s="2" t="s">
        <v>718</v>
      </c>
      <c r="P28" s="1" t="s">
        <v>719</v>
      </c>
    </row>
    <row r="29" spans="1:16" x14ac:dyDescent="0.35">
      <c r="B29" s="698"/>
      <c r="C29" s="699"/>
      <c r="D29" s="691"/>
      <c r="E29" s="692"/>
      <c r="F29" s="692"/>
      <c r="G29" s="692"/>
      <c r="H29" s="692"/>
      <c r="I29" s="692"/>
      <c r="J29" s="692"/>
      <c r="K29" s="692"/>
      <c r="L29" s="693"/>
      <c r="M29" s="2"/>
    </row>
    <row r="30" spans="1:16" x14ac:dyDescent="0.35">
      <c r="B30" s="694" t="str">
        <f>IF(Intro!$G$21="English",O30,P30)</f>
        <v>L’emploi direct</v>
      </c>
      <c r="C30" s="695"/>
      <c r="D30" s="687" t="str">
        <f>IF(Intro!$G$21="English",O31,P31)</f>
        <v>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v>
      </c>
      <c r="E30" s="688"/>
      <c r="F30" s="688"/>
      <c r="G30" s="688"/>
      <c r="H30" s="688"/>
      <c r="I30" s="688"/>
      <c r="J30" s="688"/>
      <c r="K30" s="688"/>
      <c r="L30" s="689"/>
      <c r="M30" s="2"/>
      <c r="O30" s="2" t="s">
        <v>366</v>
      </c>
      <c r="P30" s="2" t="s">
        <v>373</v>
      </c>
    </row>
    <row r="31" spans="1:16" x14ac:dyDescent="0.35">
      <c r="B31" s="696"/>
      <c r="C31" s="697"/>
      <c r="D31" s="690"/>
      <c r="E31" s="609"/>
      <c r="F31" s="609"/>
      <c r="G31" s="609"/>
      <c r="H31" s="609"/>
      <c r="I31" s="609"/>
      <c r="J31" s="609"/>
      <c r="K31" s="609"/>
      <c r="L31" s="610"/>
      <c r="M31" s="2"/>
      <c r="O31" s="2" t="s">
        <v>724</v>
      </c>
      <c r="P31" s="2" t="s">
        <v>723</v>
      </c>
    </row>
    <row r="32" spans="1:16" x14ac:dyDescent="0.35">
      <c r="B32" s="696"/>
      <c r="C32" s="697"/>
      <c r="D32" s="690"/>
      <c r="E32" s="609"/>
      <c r="F32" s="609"/>
      <c r="G32" s="609"/>
      <c r="H32" s="609"/>
      <c r="I32" s="609"/>
      <c r="J32" s="609"/>
      <c r="K32" s="609"/>
      <c r="L32" s="610"/>
      <c r="M32" s="2"/>
    </row>
    <row r="33" spans="2:18" x14ac:dyDescent="0.35">
      <c r="B33" s="698"/>
      <c r="C33" s="699"/>
      <c r="D33" s="691"/>
      <c r="E33" s="692"/>
      <c r="F33" s="692"/>
      <c r="G33" s="692"/>
      <c r="H33" s="692"/>
      <c r="I33" s="692"/>
      <c r="J33" s="692"/>
      <c r="K33" s="692"/>
      <c r="L33" s="693"/>
      <c r="M33" s="2"/>
    </row>
    <row r="34" spans="2:18" x14ac:dyDescent="0.35">
      <c r="B34" s="694" t="str">
        <f>IF(Intro!$G$21="English",O34,P34)</f>
        <v>Charges financières</v>
      </c>
      <c r="C34" s="695"/>
      <c r="D34" s="687" t="str">
        <f>IF(Intro!$G$21="English",O35,P35)</f>
        <v>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v>
      </c>
      <c r="E34" s="688"/>
      <c r="F34" s="688"/>
      <c r="G34" s="688"/>
      <c r="H34" s="688"/>
      <c r="I34" s="688"/>
      <c r="J34" s="688"/>
      <c r="K34" s="688"/>
      <c r="L34" s="689"/>
      <c r="M34" s="2"/>
      <c r="O34" s="2" t="s">
        <v>367</v>
      </c>
      <c r="P34" s="2" t="s">
        <v>54</v>
      </c>
    </row>
    <row r="35" spans="2:18" x14ac:dyDescent="0.35">
      <c r="B35" s="696"/>
      <c r="C35" s="697"/>
      <c r="D35" s="690"/>
      <c r="E35" s="609"/>
      <c r="F35" s="609"/>
      <c r="G35" s="609"/>
      <c r="H35" s="609"/>
      <c r="I35" s="609"/>
      <c r="J35" s="609"/>
      <c r="K35" s="609"/>
      <c r="L35" s="610"/>
      <c r="M35" s="2"/>
      <c r="O35" s="2" t="s">
        <v>400</v>
      </c>
      <c r="P35" s="2" t="s">
        <v>379</v>
      </c>
    </row>
    <row r="36" spans="2:18" x14ac:dyDescent="0.35">
      <c r="B36" s="698"/>
      <c r="C36" s="699"/>
      <c r="D36" s="691"/>
      <c r="E36" s="692"/>
      <c r="F36" s="692"/>
      <c r="G36" s="692"/>
      <c r="H36" s="692"/>
      <c r="I36" s="692"/>
      <c r="J36" s="692"/>
      <c r="K36" s="692"/>
      <c r="L36" s="693"/>
      <c r="M36" s="2"/>
    </row>
    <row r="37" spans="2:18" x14ac:dyDescent="0.35">
      <c r="B37" s="694" t="str">
        <f>IF(Intro!$G$21="English",O37,P37)</f>
        <v>Frais généraux, de vente et d'administration</v>
      </c>
      <c r="C37" s="695"/>
      <c r="D37" s="687" t="str">
        <f>IF(Intro!$G$21="English",O38,P38)</f>
        <v>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v>
      </c>
      <c r="E37" s="688"/>
      <c r="F37" s="688"/>
      <c r="G37" s="688"/>
      <c r="H37" s="688"/>
      <c r="I37" s="688"/>
      <c r="J37" s="688"/>
      <c r="K37" s="688"/>
      <c r="L37" s="689"/>
      <c r="M37" s="2"/>
      <c r="O37" s="2" t="s">
        <v>368</v>
      </c>
      <c r="P37" s="2" t="s">
        <v>374</v>
      </c>
    </row>
    <row r="38" spans="2:18" x14ac:dyDescent="0.35">
      <c r="B38" s="696"/>
      <c r="C38" s="697"/>
      <c r="D38" s="690"/>
      <c r="E38" s="609"/>
      <c r="F38" s="609"/>
      <c r="G38" s="609"/>
      <c r="H38" s="609"/>
      <c r="I38" s="609"/>
      <c r="J38" s="609"/>
      <c r="K38" s="609"/>
      <c r="L38" s="610"/>
      <c r="M38" s="2"/>
      <c r="O38" s="2" t="s">
        <v>401</v>
      </c>
      <c r="P38" s="2" t="s">
        <v>380</v>
      </c>
    </row>
    <row r="39" spans="2:18" x14ac:dyDescent="0.35">
      <c r="B39" s="696"/>
      <c r="C39" s="697"/>
      <c r="D39" s="690"/>
      <c r="E39" s="609"/>
      <c r="F39" s="609"/>
      <c r="G39" s="609"/>
      <c r="H39" s="609"/>
      <c r="I39" s="609"/>
      <c r="J39" s="609"/>
      <c r="K39" s="609"/>
      <c r="L39" s="610"/>
      <c r="M39" s="2"/>
    </row>
    <row r="40" spans="2:18" x14ac:dyDescent="0.35">
      <c r="B40" s="698"/>
      <c r="C40" s="699"/>
      <c r="D40" s="691"/>
      <c r="E40" s="692"/>
      <c r="F40" s="692"/>
      <c r="G40" s="692"/>
      <c r="H40" s="692"/>
      <c r="I40" s="692"/>
      <c r="J40" s="692"/>
      <c r="K40" s="692"/>
      <c r="L40" s="693"/>
      <c r="M40" s="2"/>
    </row>
    <row r="41" spans="2:18" x14ac:dyDescent="0.35">
      <c r="B41" s="694" t="str">
        <f>IF(Intro!$G$21="English",O41,P41)</f>
        <v>L'emploi indirect</v>
      </c>
      <c r="C41" s="695"/>
      <c r="D41" s="687" t="str">
        <f>IF(Intro!$G$21="English",O42,P42)</f>
        <v>Les coûts de main-d'œuvre du personnel des usines, comme les surveillants, les chefs d’usine et les préposés au contrôle de la qualité, mais exclus le personnel de vente et d’administration.</v>
      </c>
      <c r="E41" s="688"/>
      <c r="F41" s="688"/>
      <c r="G41" s="688"/>
      <c r="H41" s="688"/>
      <c r="I41" s="688"/>
      <c r="J41" s="688"/>
      <c r="K41" s="688"/>
      <c r="L41" s="689"/>
      <c r="M41" s="2"/>
      <c r="O41" s="2" t="s">
        <v>369</v>
      </c>
      <c r="P41" s="2" t="s">
        <v>375</v>
      </c>
    </row>
    <row r="42" spans="2:18" x14ac:dyDescent="0.35">
      <c r="B42" s="696"/>
      <c r="C42" s="697"/>
      <c r="D42" s="690"/>
      <c r="E42" s="609"/>
      <c r="F42" s="609"/>
      <c r="G42" s="609"/>
      <c r="H42" s="609"/>
      <c r="I42" s="609"/>
      <c r="J42" s="609"/>
      <c r="K42" s="609"/>
      <c r="L42" s="610"/>
      <c r="M42" s="2"/>
      <c r="O42" s="2" t="s">
        <v>725</v>
      </c>
      <c r="P42" s="2" t="s">
        <v>726</v>
      </c>
    </row>
    <row r="43" spans="2:18" x14ac:dyDescent="0.35">
      <c r="B43" s="698"/>
      <c r="C43" s="699"/>
      <c r="D43" s="691"/>
      <c r="E43" s="692"/>
      <c r="F43" s="692"/>
      <c r="G43" s="692"/>
      <c r="H43" s="692"/>
      <c r="I43" s="692"/>
      <c r="J43" s="692"/>
      <c r="K43" s="692"/>
      <c r="L43" s="693"/>
      <c r="M43" s="2"/>
    </row>
    <row r="44" spans="2:18" x14ac:dyDescent="0.35">
      <c r="B44" s="694" t="str">
        <f>IF(Intro!$G$21="English",O44,P44)</f>
        <v>Valeur de vente nette rendue</v>
      </c>
      <c r="C44" s="695"/>
      <c r="D44" s="687" t="str">
        <f>IF(Intro!$G$21="English",O45,P45)</f>
        <v>La valeur de vos ventes après déduction des escomptes au comptant, des remises sur quantité et des escomptes reportés, des rabais, des taxes, des ristournes et des primes, qu’ils soient indiqués ou non sur la facture. Incluez le coût de livraison.</v>
      </c>
      <c r="E44" s="688"/>
      <c r="F44" s="688"/>
      <c r="G44" s="688"/>
      <c r="H44" s="688"/>
      <c r="I44" s="688"/>
      <c r="J44" s="688"/>
      <c r="K44" s="688"/>
      <c r="L44" s="689"/>
      <c r="M44" s="2"/>
      <c r="O44" s="2" t="s">
        <v>370</v>
      </c>
      <c r="P44" s="2" t="s">
        <v>376</v>
      </c>
    </row>
    <row r="45" spans="2:18" x14ac:dyDescent="0.35">
      <c r="B45" s="696"/>
      <c r="C45" s="697"/>
      <c r="D45" s="690"/>
      <c r="E45" s="609"/>
      <c r="F45" s="609"/>
      <c r="G45" s="609"/>
      <c r="H45" s="609"/>
      <c r="I45" s="609"/>
      <c r="J45" s="609"/>
      <c r="K45" s="609"/>
      <c r="L45" s="610"/>
      <c r="M45" s="2"/>
      <c r="O45" s="2" t="s">
        <v>720</v>
      </c>
      <c r="P45" s="1" t="s">
        <v>632</v>
      </c>
      <c r="R45" s="1"/>
    </row>
    <row r="46" spans="2:18" x14ac:dyDescent="0.35">
      <c r="B46" s="698"/>
      <c r="C46" s="699"/>
      <c r="D46" s="691"/>
      <c r="E46" s="692"/>
      <c r="F46" s="692"/>
      <c r="G46" s="692"/>
      <c r="H46" s="692"/>
      <c r="I46" s="692"/>
      <c r="J46" s="692"/>
      <c r="K46" s="692"/>
      <c r="L46" s="693"/>
      <c r="M46" s="2"/>
      <c r="R46" s="1"/>
    </row>
    <row r="47" spans="2:18" x14ac:dyDescent="0.35">
      <c r="B47" s="694" t="str">
        <f>IF(Intro!$G$21="English",O47,P47)</f>
        <v>Valeur de vente nette</v>
      </c>
      <c r="C47" s="695"/>
      <c r="D47" s="687" t="str">
        <f>IF(Intro!$G$21="English",O48,P48)</f>
        <v>La valeur de vos ventes après déduction des retours, rabais pour marchandises endommagées ou manquantes et tous rabais, escomptes et incitatifs offerts.</v>
      </c>
      <c r="E47" s="688"/>
      <c r="F47" s="688"/>
      <c r="G47" s="688"/>
      <c r="H47" s="688"/>
      <c r="I47" s="688"/>
      <c r="J47" s="688"/>
      <c r="K47" s="688"/>
      <c r="L47" s="689"/>
      <c r="M47" s="2"/>
      <c r="O47" s="2" t="s">
        <v>371</v>
      </c>
      <c r="P47" s="2" t="s">
        <v>71</v>
      </c>
    </row>
    <row r="48" spans="2:18" x14ac:dyDescent="0.35">
      <c r="B48" s="696"/>
      <c r="C48" s="697"/>
      <c r="D48" s="690"/>
      <c r="E48" s="609"/>
      <c r="F48" s="609"/>
      <c r="G48" s="609"/>
      <c r="H48" s="609"/>
      <c r="I48" s="609"/>
      <c r="J48" s="609"/>
      <c r="K48" s="609"/>
      <c r="L48" s="610"/>
      <c r="M48" s="2"/>
      <c r="O48" s="2" t="s">
        <v>633</v>
      </c>
      <c r="P48" s="2" t="s">
        <v>634</v>
      </c>
    </row>
    <row r="49" spans="2:16" x14ac:dyDescent="0.35">
      <c r="B49" s="694" t="str">
        <f>IF(Intro!$G$21="English",O49,P49)</f>
        <v xml:space="preserve">La capacité pratique des usines
</v>
      </c>
      <c r="C49" s="695"/>
      <c r="D49" s="687" t="str">
        <f>IF(Intro!$G$21="English",O50,P50)</f>
        <v>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v>
      </c>
      <c r="E49" s="688"/>
      <c r="F49" s="688"/>
      <c r="G49" s="688"/>
      <c r="H49" s="688"/>
      <c r="I49" s="688"/>
      <c r="J49" s="688"/>
      <c r="K49" s="688"/>
      <c r="L49" s="689"/>
      <c r="M49" s="2"/>
      <c r="O49" s="2" t="s">
        <v>372</v>
      </c>
      <c r="P49" s="2" t="s">
        <v>377</v>
      </c>
    </row>
    <row r="50" spans="2:16" x14ac:dyDescent="0.35">
      <c r="B50" s="696"/>
      <c r="C50" s="697"/>
      <c r="D50" s="690"/>
      <c r="E50" s="609"/>
      <c r="F50" s="609"/>
      <c r="G50" s="609"/>
      <c r="H50" s="609"/>
      <c r="I50" s="609"/>
      <c r="J50" s="609"/>
      <c r="K50" s="609"/>
      <c r="L50" s="610"/>
      <c r="O50" s="2" t="s">
        <v>598</v>
      </c>
      <c r="P50" s="2" t="s">
        <v>678</v>
      </c>
    </row>
    <row r="51" spans="2:16" x14ac:dyDescent="0.35">
      <c r="B51" s="696"/>
      <c r="C51" s="697"/>
      <c r="D51" s="690"/>
      <c r="E51" s="609"/>
      <c r="F51" s="609"/>
      <c r="G51" s="609"/>
      <c r="H51" s="609"/>
      <c r="I51" s="609"/>
      <c r="J51" s="609"/>
      <c r="K51" s="609"/>
      <c r="L51" s="610"/>
    </row>
    <row r="52" spans="2:16" x14ac:dyDescent="0.35">
      <c r="B52" s="696"/>
      <c r="C52" s="697"/>
      <c r="D52" s="690"/>
      <c r="E52" s="609"/>
      <c r="F52" s="609"/>
      <c r="G52" s="609"/>
      <c r="H52" s="609"/>
      <c r="I52" s="609"/>
      <c r="J52" s="609"/>
      <c r="K52" s="609"/>
      <c r="L52" s="610"/>
    </row>
    <row r="53" spans="2:16" x14ac:dyDescent="0.35">
      <c r="B53" s="677" t="str">
        <f>IF(Intro!$G$21="English",O53,P53)</f>
        <v>Entreprises affiliées</v>
      </c>
      <c r="C53" s="678"/>
      <c r="D53" s="631" t="str">
        <f>IF(Intro!$G$21="English",O54,P54)</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53" s="631"/>
      <c r="F53" s="631"/>
      <c r="G53" s="631"/>
      <c r="H53" s="631"/>
      <c r="I53" s="631"/>
      <c r="J53" s="631"/>
      <c r="K53" s="631"/>
      <c r="L53" s="683"/>
      <c r="M53" s="2"/>
      <c r="O53" s="2" t="s">
        <v>599</v>
      </c>
      <c r="P53" s="2" t="s">
        <v>600</v>
      </c>
    </row>
    <row r="54" spans="2:16" x14ac:dyDescent="0.35">
      <c r="B54" s="679"/>
      <c r="C54" s="680"/>
      <c r="D54" s="633"/>
      <c r="E54" s="633"/>
      <c r="F54" s="633"/>
      <c r="G54" s="633"/>
      <c r="H54" s="633"/>
      <c r="I54" s="633"/>
      <c r="J54" s="633"/>
      <c r="K54" s="633"/>
      <c r="L54" s="684"/>
      <c r="M54" s="2"/>
      <c r="O54" s="2" t="s">
        <v>596</v>
      </c>
      <c r="P54" s="2" t="s">
        <v>597</v>
      </c>
    </row>
    <row r="55" spans="2:16" x14ac:dyDescent="0.35">
      <c r="B55" s="679"/>
      <c r="C55" s="680"/>
      <c r="D55" s="633"/>
      <c r="E55" s="633"/>
      <c r="F55" s="633"/>
      <c r="G55" s="633"/>
      <c r="H55" s="633"/>
      <c r="I55" s="633"/>
      <c r="J55" s="633"/>
      <c r="K55" s="633"/>
      <c r="L55" s="684"/>
      <c r="M55" s="2"/>
    </row>
    <row r="56" spans="2:16" x14ac:dyDescent="0.35">
      <c r="B56" s="681"/>
      <c r="C56" s="682"/>
      <c r="D56" s="685"/>
      <c r="E56" s="685"/>
      <c r="F56" s="685"/>
      <c r="G56" s="685"/>
      <c r="H56" s="685"/>
      <c r="I56" s="685"/>
      <c r="J56" s="685"/>
      <c r="K56" s="685"/>
      <c r="L56" s="686"/>
      <c r="M56" s="2"/>
    </row>
  </sheetData>
  <sheetProtection algorithmName="SHA-512" hashValue="ydl2bk2dznNk/wfkMpxVqMhP+0XBdGKK4TkE3yQGSzZEg9HU+9veiKlDzte+QQYlHkE8y+4+br4snom0+xrHPQ==" saltValue="0/PwFkFInFh2ipgt8OiYUg==" spinCount="100000" sheet="1" objects="1" scenarios="1" selectLockedCells="1"/>
  <mergeCells count="30">
    <mergeCell ref="B4:L4"/>
    <mergeCell ref="B5:L5"/>
    <mergeCell ref="B6:L6"/>
    <mergeCell ref="B8:L8"/>
    <mergeCell ref="B10:L10"/>
    <mergeCell ref="B12:L13"/>
    <mergeCell ref="B15:L16"/>
    <mergeCell ref="B37:C40"/>
    <mergeCell ref="D37:L40"/>
    <mergeCell ref="B41:C43"/>
    <mergeCell ref="D41:L43"/>
    <mergeCell ref="B19:L19"/>
    <mergeCell ref="B20:C22"/>
    <mergeCell ref="D20:L22"/>
    <mergeCell ref="B23:C26"/>
    <mergeCell ref="D23:L26"/>
    <mergeCell ref="B30:C33"/>
    <mergeCell ref="B53:C56"/>
    <mergeCell ref="D53:L56"/>
    <mergeCell ref="D30:L33"/>
    <mergeCell ref="B27:C29"/>
    <mergeCell ref="D27:L29"/>
    <mergeCell ref="B49:C52"/>
    <mergeCell ref="D49:L52"/>
    <mergeCell ref="B44:C46"/>
    <mergeCell ref="D44:L46"/>
    <mergeCell ref="B34:C36"/>
    <mergeCell ref="D34:L36"/>
    <mergeCell ref="B47:C48"/>
    <mergeCell ref="D47:L48"/>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62E-6D01-4FA3-92E3-82C90F93AE0C}">
  <sheetPr>
    <tabColor rgb="FF00B0F0"/>
    <pageSetUpPr fitToPage="1"/>
  </sheetPr>
  <dimension ref="A1:Q453"/>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9" hidden="1" customWidth="1"/>
    <col min="17" max="17" width="9.08984375" style="2" customWidth="1"/>
    <col min="18" max="16384" width="9.08984375" style="2"/>
  </cols>
  <sheetData>
    <row r="1" spans="1:16" x14ac:dyDescent="0.35">
      <c r="O1" s="2" t="s">
        <v>715</v>
      </c>
      <c r="P1" s="2" t="s">
        <v>715</v>
      </c>
    </row>
    <row r="2" spans="1:16" x14ac:dyDescent="0.35">
      <c r="B2" s="20" t="s">
        <v>0</v>
      </c>
      <c r="C2" s="20"/>
      <c r="D2" s="20"/>
      <c r="O2" s="3" t="s">
        <v>164</v>
      </c>
      <c r="P2" s="3" t="s">
        <v>165</v>
      </c>
    </row>
    <row r="3" spans="1:16" x14ac:dyDescent="0.35">
      <c r="B3" s="21"/>
      <c r="C3" s="21"/>
      <c r="D3" s="21"/>
      <c r="O3" s="8"/>
      <c r="P3" s="8"/>
    </row>
    <row r="4" spans="1:16" s="8" customFormat="1" x14ac:dyDescent="0.35">
      <c r="A4" s="13"/>
      <c r="B4" s="614" t="str">
        <f>Info!B4</f>
        <v>QUESTIONNAIRE À L’INTENTION DES PRODUCTEURS</v>
      </c>
      <c r="C4" s="615"/>
      <c r="D4" s="615"/>
      <c r="E4" s="615"/>
      <c r="F4" s="615"/>
      <c r="G4" s="615"/>
      <c r="H4" s="615"/>
      <c r="I4" s="615"/>
      <c r="J4" s="615"/>
      <c r="K4" s="615"/>
      <c r="L4" s="616"/>
      <c r="M4" s="6"/>
      <c r="N4" s="6"/>
      <c r="O4" s="14"/>
      <c r="P4" s="14"/>
    </row>
    <row r="5" spans="1:16" s="8" customFormat="1" x14ac:dyDescent="0.35">
      <c r="A5" s="13"/>
      <c r="B5" s="617" t="str">
        <f>Info!B5</f>
        <v>NQ-2026-003</v>
      </c>
      <c r="C5" s="618"/>
      <c r="D5" s="618"/>
      <c r="E5" s="618"/>
      <c r="F5" s="618"/>
      <c r="G5" s="618"/>
      <c r="H5" s="618"/>
      <c r="I5" s="618"/>
      <c r="J5" s="618"/>
      <c r="K5" s="618"/>
      <c r="L5" s="619"/>
      <c r="M5" s="6"/>
      <c r="N5" s="6"/>
      <c r="O5" s="14"/>
      <c r="P5" s="14"/>
    </row>
    <row r="6" spans="1:16" s="9" customFormat="1" x14ac:dyDescent="0.35">
      <c r="A6" s="13"/>
      <c r="B6" s="617" t="str">
        <f>Info!B6</f>
        <v>CÂBLES DE BÂTIMENTS NON ARMÉS</v>
      </c>
      <c r="C6" s="618"/>
      <c r="D6" s="618"/>
      <c r="E6" s="618"/>
      <c r="F6" s="618"/>
      <c r="G6" s="618"/>
      <c r="H6" s="618"/>
      <c r="I6" s="618"/>
      <c r="J6" s="618"/>
      <c r="K6" s="618"/>
      <c r="L6" s="619"/>
      <c r="M6" s="14"/>
      <c r="N6" s="14"/>
      <c r="O6" s="10"/>
      <c r="P6" s="10"/>
    </row>
    <row r="7" spans="1:16" s="9" customFormat="1" x14ac:dyDescent="0.35">
      <c r="A7" s="13"/>
      <c r="B7" s="242"/>
      <c r="C7" s="28"/>
      <c r="D7" s="28"/>
      <c r="E7" s="28"/>
      <c r="F7" s="28"/>
      <c r="G7" s="28"/>
      <c r="H7" s="28"/>
      <c r="I7" s="28"/>
      <c r="J7" s="28"/>
      <c r="K7" s="28"/>
      <c r="L7" s="243"/>
      <c r="M7" s="14"/>
      <c r="N7" s="14"/>
      <c r="O7" s="5"/>
    </row>
    <row r="8" spans="1:16" s="9" customFormat="1" x14ac:dyDescent="0.35">
      <c r="A8" s="13"/>
      <c r="B8" s="722" t="str">
        <f>IF(Intro!$G$21="English",O8,P8)</f>
        <v>Les questions suivantes font référence aux marchandises comme définies dans la description du produit de l'onglet Intro.</v>
      </c>
      <c r="C8" s="723"/>
      <c r="D8" s="723"/>
      <c r="E8" s="723"/>
      <c r="F8" s="723"/>
      <c r="G8" s="723"/>
      <c r="H8" s="723"/>
      <c r="I8" s="723"/>
      <c r="J8" s="723"/>
      <c r="K8" s="723"/>
      <c r="L8" s="724"/>
      <c r="M8" s="14"/>
      <c r="N8" s="14"/>
      <c r="O8" s="10" t="str">
        <f>"The following questions refer to the goods as defined in the product description on the Intro tab."</f>
        <v>The following questions refer to the goods as defined in the product description on the Intro tab.</v>
      </c>
      <c r="P8" s="10" t="str">
        <f>"Les questions suivantes font référence aux marchandises comme définies dans la description du produit de l'onglet Intro."</f>
        <v>Les questions suivantes font référence aux marchandises comme définies dans la description du produit de l'onglet Intro.</v>
      </c>
    </row>
    <row r="9" spans="1:16" s="9" customFormat="1" x14ac:dyDescent="0.35">
      <c r="A9" s="13"/>
      <c r="B9" s="722" t="str">
        <f>IF(Intro!$G$21="English",O9,P9)</f>
        <v>Des informations sur le produit et un glossaire de termes sont disponibles dans l'onglet Info.</v>
      </c>
      <c r="C9" s="723"/>
      <c r="D9" s="723"/>
      <c r="E9" s="723"/>
      <c r="F9" s="723"/>
      <c r="G9" s="723"/>
      <c r="H9" s="723"/>
      <c r="I9" s="723"/>
      <c r="J9" s="723"/>
      <c r="K9" s="723"/>
      <c r="L9" s="724"/>
      <c r="M9" s="14"/>
      <c r="N9" s="14"/>
      <c r="O9" s="10" t="s">
        <v>174</v>
      </c>
      <c r="P9" s="9" t="s">
        <v>175</v>
      </c>
    </row>
    <row r="10" spans="1:16" s="9" customFormat="1" x14ac:dyDescent="0.35">
      <c r="A10" s="13"/>
      <c r="B10" s="725" t="str">
        <f>IF(Intro!$G$21="English",O10,P10)</f>
        <v>Utilisez l'onglet AddPub si vous avez besoin de plus d'espace.</v>
      </c>
      <c r="C10" s="726"/>
      <c r="D10" s="726"/>
      <c r="E10" s="726"/>
      <c r="F10" s="726"/>
      <c r="G10" s="726"/>
      <c r="H10" s="726"/>
      <c r="I10" s="726"/>
      <c r="J10" s="726"/>
      <c r="K10" s="726"/>
      <c r="L10" s="727"/>
      <c r="M10" s="14"/>
      <c r="N10" s="14"/>
      <c r="O10" s="10" t="s">
        <v>285</v>
      </c>
      <c r="P10" s="10" t="s">
        <v>286</v>
      </c>
    </row>
    <row r="11" spans="1:16" s="9" customFormat="1" x14ac:dyDescent="0.35">
      <c r="A11" s="13"/>
      <c r="B11" s="22"/>
      <c r="C11" s="22"/>
      <c r="D11" s="22"/>
      <c r="E11" s="23"/>
      <c r="F11" s="23"/>
      <c r="G11" s="23"/>
      <c r="H11" s="23"/>
      <c r="I11" s="23"/>
      <c r="J11" s="23"/>
      <c r="K11" s="23"/>
      <c r="L11" s="23"/>
      <c r="O11" s="10"/>
      <c r="P11" s="10"/>
    </row>
    <row r="12" spans="1:16" x14ac:dyDescent="0.35">
      <c r="B12" s="599" t="str">
        <f>IF(Intro!$G$21="English",O12,P12)</f>
        <v>INFORMATIONS GÉNÉRALES SUR L'ENTREPRISE</v>
      </c>
      <c r="C12" s="600"/>
      <c r="D12" s="600"/>
      <c r="E12" s="600"/>
      <c r="F12" s="600"/>
      <c r="G12" s="600"/>
      <c r="H12" s="600"/>
      <c r="I12" s="600"/>
      <c r="J12" s="600"/>
      <c r="K12" s="600"/>
      <c r="L12" s="601"/>
      <c r="M12" s="152"/>
      <c r="O12" s="197" t="s">
        <v>635</v>
      </c>
      <c r="P12" s="197" t="s">
        <v>636</v>
      </c>
    </row>
    <row r="13" spans="1:16" x14ac:dyDescent="0.35">
      <c r="B13" s="728" t="s">
        <v>20</v>
      </c>
      <c r="C13" s="729"/>
      <c r="D13" s="729"/>
      <c r="E13" s="729"/>
      <c r="F13" s="729"/>
      <c r="G13" s="729"/>
      <c r="H13" s="729"/>
      <c r="I13" s="729"/>
      <c r="J13" s="729"/>
      <c r="K13" s="729"/>
      <c r="L13" s="730"/>
      <c r="M13" s="2"/>
    </row>
    <row r="14" spans="1:16" x14ac:dyDescent="0.35">
      <c r="B14" s="24"/>
      <c r="C14" s="25"/>
      <c r="D14" s="25"/>
      <c r="E14" s="26"/>
      <c r="F14" s="26"/>
      <c r="G14" s="26"/>
      <c r="H14" s="26"/>
      <c r="I14" s="26"/>
      <c r="J14" s="26"/>
      <c r="K14" s="26"/>
      <c r="L14" s="27"/>
      <c r="M14" s="2"/>
    </row>
    <row r="15" spans="1:16" x14ac:dyDescent="0.35">
      <c r="B15" s="602" t="str">
        <f>IF(Intro!$G$21="English",O15,P15)</f>
        <v>Donnez un bref historique de votre entreprise, en insistant plus particulièrement sur les activités entourant les marchandises.</v>
      </c>
      <c r="C15" s="603"/>
      <c r="D15" s="603"/>
      <c r="E15" s="603"/>
      <c r="F15" s="603"/>
      <c r="G15" s="603"/>
      <c r="H15" s="603"/>
      <c r="I15" s="603"/>
      <c r="J15" s="603"/>
      <c r="K15" s="603"/>
      <c r="L15" s="604"/>
      <c r="M15" s="2"/>
      <c r="O15" s="155" t="s">
        <v>134</v>
      </c>
      <c r="P15" s="9" t="s">
        <v>135</v>
      </c>
    </row>
    <row r="16" spans="1:16" s="152" customFormat="1" x14ac:dyDescent="0.35">
      <c r="A16" s="172"/>
      <c r="B16" s="184"/>
      <c r="C16" s="173"/>
      <c r="D16" s="173"/>
      <c r="E16" s="173"/>
      <c r="F16" s="173"/>
      <c r="G16" s="173"/>
      <c r="H16" s="173"/>
      <c r="I16" s="173"/>
      <c r="J16" s="173"/>
      <c r="K16" s="173"/>
      <c r="L16" s="174"/>
      <c r="O16" s="9"/>
      <c r="P16" s="9"/>
    </row>
    <row r="17" spans="1:16" s="3" customFormat="1" x14ac:dyDescent="0.35">
      <c r="A17" s="12"/>
      <c r="B17" s="704"/>
      <c r="C17" s="705"/>
      <c r="D17" s="705"/>
      <c r="E17" s="705"/>
      <c r="F17" s="705"/>
      <c r="G17" s="705"/>
      <c r="H17" s="705"/>
      <c r="I17" s="705"/>
      <c r="J17" s="705"/>
      <c r="K17" s="705"/>
      <c r="L17" s="706"/>
      <c r="M17" s="152"/>
      <c r="O17" s="154"/>
      <c r="P17" s="154"/>
    </row>
    <row r="18" spans="1:16" s="3" customFormat="1" x14ac:dyDescent="0.35">
      <c r="A18" s="12"/>
      <c r="B18" s="704"/>
      <c r="C18" s="705"/>
      <c r="D18" s="705"/>
      <c r="E18" s="705"/>
      <c r="F18" s="705"/>
      <c r="G18" s="705"/>
      <c r="H18" s="705"/>
      <c r="I18" s="705"/>
      <c r="J18" s="705"/>
      <c r="K18" s="705"/>
      <c r="L18" s="706"/>
      <c r="M18" s="152"/>
      <c r="O18" s="154"/>
      <c r="P18" s="154"/>
    </row>
    <row r="19" spans="1:16" s="3" customFormat="1" x14ac:dyDescent="0.35">
      <c r="A19" s="12"/>
      <c r="B19" s="704"/>
      <c r="C19" s="705"/>
      <c r="D19" s="705"/>
      <c r="E19" s="705"/>
      <c r="F19" s="705"/>
      <c r="G19" s="705"/>
      <c r="H19" s="705"/>
      <c r="I19" s="705"/>
      <c r="J19" s="705"/>
      <c r="K19" s="705"/>
      <c r="L19" s="706"/>
      <c r="M19" s="152"/>
      <c r="O19" s="154"/>
      <c r="P19" s="154"/>
    </row>
    <row r="20" spans="1:16" s="3" customFormat="1" x14ac:dyDescent="0.35">
      <c r="A20" s="12"/>
      <c r="B20" s="704"/>
      <c r="C20" s="705"/>
      <c r="D20" s="705"/>
      <c r="E20" s="705"/>
      <c r="F20" s="705"/>
      <c r="G20" s="705"/>
      <c r="H20" s="705"/>
      <c r="I20" s="705"/>
      <c r="J20" s="705"/>
      <c r="K20" s="705"/>
      <c r="L20" s="706"/>
      <c r="M20" s="152"/>
      <c r="O20" s="154"/>
      <c r="P20" s="154"/>
    </row>
    <row r="21" spans="1:16" s="3" customFormat="1" x14ac:dyDescent="0.35">
      <c r="A21" s="12"/>
      <c r="B21" s="704"/>
      <c r="C21" s="705"/>
      <c r="D21" s="705"/>
      <c r="E21" s="705"/>
      <c r="F21" s="705"/>
      <c r="G21" s="705"/>
      <c r="H21" s="705"/>
      <c r="I21" s="705"/>
      <c r="J21" s="705"/>
      <c r="K21" s="705"/>
      <c r="L21" s="706"/>
      <c r="M21" s="152"/>
      <c r="O21" s="154"/>
      <c r="P21" s="154"/>
    </row>
    <row r="22" spans="1:16" s="3" customFormat="1" x14ac:dyDescent="0.35">
      <c r="A22" s="12"/>
      <c r="B22" s="704"/>
      <c r="C22" s="705"/>
      <c r="D22" s="705"/>
      <c r="E22" s="705"/>
      <c r="F22" s="705"/>
      <c r="G22" s="705"/>
      <c r="H22" s="705"/>
      <c r="I22" s="705"/>
      <c r="J22" s="705"/>
      <c r="K22" s="705"/>
      <c r="L22" s="706"/>
      <c r="M22" s="152"/>
      <c r="O22" s="154"/>
      <c r="P22" s="154"/>
    </row>
    <row r="23" spans="1:16" s="3" customFormat="1" x14ac:dyDescent="0.35">
      <c r="A23" s="12"/>
      <c r="B23" s="704"/>
      <c r="C23" s="705"/>
      <c r="D23" s="705"/>
      <c r="E23" s="705"/>
      <c r="F23" s="705"/>
      <c r="G23" s="705"/>
      <c r="H23" s="705"/>
      <c r="I23" s="705"/>
      <c r="J23" s="705"/>
      <c r="K23" s="705"/>
      <c r="L23" s="706"/>
      <c r="M23" s="152"/>
      <c r="O23" s="154"/>
      <c r="P23" s="154"/>
    </row>
    <row r="24" spans="1:16" s="3" customFormat="1" x14ac:dyDescent="0.35">
      <c r="A24" s="12"/>
      <c r="B24" s="704"/>
      <c r="C24" s="705"/>
      <c r="D24" s="705"/>
      <c r="E24" s="705"/>
      <c r="F24" s="705"/>
      <c r="G24" s="705"/>
      <c r="H24" s="705"/>
      <c r="I24" s="705"/>
      <c r="J24" s="705"/>
      <c r="K24" s="705"/>
      <c r="L24" s="706"/>
      <c r="M24" s="152"/>
      <c r="O24" s="154"/>
      <c r="P24" s="154"/>
    </row>
    <row r="25" spans="1:16" s="152" customFormat="1" x14ac:dyDescent="0.35">
      <c r="A25" s="172"/>
      <c r="B25" s="186"/>
      <c r="C25" s="187"/>
      <c r="D25" s="187"/>
      <c r="E25" s="187"/>
      <c r="F25" s="187"/>
      <c r="G25" s="187"/>
      <c r="H25" s="187"/>
      <c r="I25" s="187"/>
      <c r="J25" s="187"/>
      <c r="K25" s="187"/>
      <c r="L25" s="185"/>
      <c r="O25" s="9"/>
      <c r="P25" s="9"/>
    </row>
    <row r="26" spans="1:16" s="3" customFormat="1" x14ac:dyDescent="0.35">
      <c r="A26" s="12"/>
      <c r="B26" s="710" t="s">
        <v>21</v>
      </c>
      <c r="C26" s="711"/>
      <c r="D26" s="711"/>
      <c r="E26" s="711"/>
      <c r="F26" s="711"/>
      <c r="G26" s="711"/>
      <c r="H26" s="711"/>
      <c r="I26" s="711"/>
      <c r="J26" s="711"/>
      <c r="K26" s="711"/>
      <c r="L26" s="712"/>
      <c r="M26" s="167"/>
      <c r="O26" s="154"/>
      <c r="P26" s="154"/>
    </row>
    <row r="27" spans="1:16" s="152" customFormat="1" x14ac:dyDescent="0.35">
      <c r="A27" s="172"/>
      <c r="B27" s="184"/>
      <c r="C27" s="173"/>
      <c r="D27" s="173"/>
      <c r="E27" s="173"/>
      <c r="F27" s="173"/>
      <c r="G27" s="173"/>
      <c r="H27" s="173"/>
      <c r="I27" s="173"/>
      <c r="J27" s="173"/>
      <c r="K27" s="173"/>
      <c r="L27" s="174"/>
      <c r="O27" s="9"/>
      <c r="P27" s="9"/>
    </row>
    <row r="28" spans="1:16" s="152" customFormat="1" x14ac:dyDescent="0.35">
      <c r="A28" s="172"/>
      <c r="B28" s="608" t="str">
        <f>IF(Intro!$G$21="English",O28,P28)</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28" s="609"/>
      <c r="D28" s="609"/>
      <c r="E28" s="609"/>
      <c r="F28" s="609"/>
      <c r="G28" s="609"/>
      <c r="H28" s="609"/>
      <c r="I28" s="609"/>
      <c r="J28" s="609"/>
      <c r="K28" s="609"/>
      <c r="L28" s="610"/>
      <c r="O28" s="2" t="s">
        <v>807</v>
      </c>
      <c r="P28" s="2" t="s">
        <v>808</v>
      </c>
    </row>
    <row r="29" spans="1:16" s="152" customFormat="1" x14ac:dyDescent="0.35">
      <c r="A29" s="172"/>
      <c r="B29" s="608"/>
      <c r="C29" s="609"/>
      <c r="D29" s="609"/>
      <c r="E29" s="609"/>
      <c r="F29" s="609"/>
      <c r="G29" s="609"/>
      <c r="H29" s="609"/>
      <c r="I29" s="609"/>
      <c r="J29" s="609"/>
      <c r="K29" s="609"/>
      <c r="L29" s="610"/>
      <c r="O29" s="2"/>
      <c r="P29" s="2"/>
    </row>
    <row r="30" spans="1:16" s="152" customFormat="1" x14ac:dyDescent="0.35">
      <c r="A30" s="172"/>
      <c r="B30" s="608"/>
      <c r="C30" s="609"/>
      <c r="D30" s="609"/>
      <c r="E30" s="609"/>
      <c r="F30" s="609"/>
      <c r="G30" s="609"/>
      <c r="H30" s="609"/>
      <c r="I30" s="609"/>
      <c r="J30" s="609"/>
      <c r="K30" s="609"/>
      <c r="L30" s="610"/>
      <c r="O30" s="2"/>
      <c r="P30" s="2"/>
    </row>
    <row r="31" spans="1:16" s="152" customFormat="1" x14ac:dyDescent="0.35">
      <c r="A31" s="172"/>
      <c r="B31" s="608"/>
      <c r="C31" s="609"/>
      <c r="D31" s="609"/>
      <c r="E31" s="609"/>
      <c r="F31" s="609"/>
      <c r="G31" s="609"/>
      <c r="H31" s="609"/>
      <c r="I31" s="609"/>
      <c r="J31" s="609"/>
      <c r="K31" s="609"/>
      <c r="L31" s="610"/>
      <c r="O31" s="2"/>
      <c r="P31" s="2"/>
    </row>
    <row r="32" spans="1:16" s="152" customFormat="1" x14ac:dyDescent="0.35">
      <c r="A32" s="172"/>
      <c r="B32" s="608"/>
      <c r="C32" s="609"/>
      <c r="D32" s="609"/>
      <c r="E32" s="609"/>
      <c r="F32" s="609"/>
      <c r="G32" s="609"/>
      <c r="H32" s="609"/>
      <c r="I32" s="609"/>
      <c r="J32" s="609"/>
      <c r="K32" s="609"/>
      <c r="L32" s="610"/>
    </row>
    <row r="33" spans="1:16" s="152" customFormat="1" x14ac:dyDescent="0.35">
      <c r="A33" s="172"/>
      <c r="B33" s="608"/>
      <c r="C33" s="609"/>
      <c r="D33" s="609"/>
      <c r="E33" s="609"/>
      <c r="F33" s="609"/>
      <c r="G33" s="609"/>
      <c r="H33" s="609"/>
      <c r="I33" s="609"/>
      <c r="J33" s="609"/>
      <c r="K33" s="609"/>
      <c r="L33" s="610"/>
    </row>
    <row r="34" spans="1:16" s="152" customFormat="1" x14ac:dyDescent="0.35">
      <c r="A34" s="172"/>
      <c r="B34" s="184"/>
      <c r="C34" s="173"/>
      <c r="D34" s="173"/>
      <c r="E34" s="173"/>
      <c r="F34" s="173"/>
      <c r="G34" s="173"/>
      <c r="H34" s="173"/>
      <c r="I34" s="173"/>
      <c r="J34" s="173"/>
      <c r="K34" s="173"/>
      <c r="L34" s="174"/>
    </row>
    <row r="35" spans="1:16" x14ac:dyDescent="0.35">
      <c r="B35" s="158"/>
      <c r="C35" s="720" t="str">
        <f>IF(Intro!$G$21="English",O35,P35)</f>
        <v xml:space="preserve">Dénomination sociale de l'entreprise </v>
      </c>
      <c r="D35" s="720"/>
      <c r="E35" s="720" t="str">
        <f>IF(Intro!$G$21="English",O36,P36)</f>
        <v>Adresse de l'entreprise</v>
      </c>
      <c r="F35" s="720"/>
      <c r="G35" s="720" t="str">
        <f>IF(Intro!$G$21="English",O37,P37)</f>
        <v>Type d'affiliation</v>
      </c>
      <c r="H35" s="720"/>
      <c r="I35" s="720"/>
      <c r="J35" s="720" t="str">
        <f>IF(Intro!$G$21="English",O38,P38)</f>
        <v>Rôle dans l'industrie</v>
      </c>
      <c r="K35" s="720"/>
      <c r="L35" s="721"/>
      <c r="M35" s="2"/>
      <c r="O35" s="9" t="s">
        <v>22</v>
      </c>
      <c r="P35" s="9" t="s">
        <v>23</v>
      </c>
    </row>
    <row r="36" spans="1:16" x14ac:dyDescent="0.35">
      <c r="B36" s="158"/>
      <c r="C36" s="720"/>
      <c r="D36" s="720"/>
      <c r="E36" s="720"/>
      <c r="F36" s="720"/>
      <c r="G36" s="720"/>
      <c r="H36" s="720"/>
      <c r="I36" s="720"/>
      <c r="J36" s="720"/>
      <c r="K36" s="720"/>
      <c r="L36" s="721"/>
      <c r="M36" s="2"/>
      <c r="O36" s="9" t="s">
        <v>7</v>
      </c>
      <c r="P36" s="9" t="s">
        <v>8</v>
      </c>
    </row>
    <row r="37" spans="1:16" x14ac:dyDescent="0.35">
      <c r="B37" s="719">
        <v>1</v>
      </c>
      <c r="C37" s="626"/>
      <c r="D37" s="626"/>
      <c r="E37" s="626"/>
      <c r="F37" s="626"/>
      <c r="G37" s="626"/>
      <c r="H37" s="626"/>
      <c r="I37" s="626"/>
      <c r="J37" s="626"/>
      <c r="K37" s="626"/>
      <c r="L37" s="627"/>
      <c r="M37" s="2"/>
      <c r="O37" s="9" t="s">
        <v>402</v>
      </c>
      <c r="P37" s="9" t="s">
        <v>694</v>
      </c>
    </row>
    <row r="38" spans="1:16" x14ac:dyDescent="0.35">
      <c r="B38" s="719"/>
      <c r="C38" s="626"/>
      <c r="D38" s="626"/>
      <c r="E38" s="626"/>
      <c r="F38" s="626"/>
      <c r="G38" s="626"/>
      <c r="H38" s="626"/>
      <c r="I38" s="626"/>
      <c r="J38" s="626"/>
      <c r="K38" s="626"/>
      <c r="L38" s="627"/>
      <c r="M38" s="2"/>
      <c r="O38" s="9" t="s">
        <v>24</v>
      </c>
      <c r="P38" s="9" t="s">
        <v>25</v>
      </c>
    </row>
    <row r="39" spans="1:16" x14ac:dyDescent="0.35">
      <c r="B39" s="719">
        <v>2</v>
      </c>
      <c r="C39" s="626"/>
      <c r="D39" s="626"/>
      <c r="E39" s="626"/>
      <c r="F39" s="626"/>
      <c r="G39" s="626"/>
      <c r="H39" s="626"/>
      <c r="I39" s="626"/>
      <c r="J39" s="626"/>
      <c r="K39" s="626"/>
      <c r="L39" s="627"/>
      <c r="M39" s="2"/>
      <c r="O39" s="2"/>
      <c r="P39" s="2"/>
    </row>
    <row r="40" spans="1:16" x14ac:dyDescent="0.35">
      <c r="B40" s="719"/>
      <c r="C40" s="626"/>
      <c r="D40" s="626"/>
      <c r="E40" s="626"/>
      <c r="F40" s="626"/>
      <c r="G40" s="626"/>
      <c r="H40" s="626"/>
      <c r="I40" s="626"/>
      <c r="J40" s="626"/>
      <c r="K40" s="626"/>
      <c r="L40" s="627"/>
      <c r="M40" s="2"/>
      <c r="O40" s="2"/>
      <c r="P40" s="2"/>
    </row>
    <row r="41" spans="1:16" x14ac:dyDescent="0.35">
      <c r="B41" s="719">
        <v>3</v>
      </c>
      <c r="C41" s="626"/>
      <c r="D41" s="626"/>
      <c r="E41" s="626"/>
      <c r="F41" s="626"/>
      <c r="G41" s="626"/>
      <c r="H41" s="626"/>
      <c r="I41" s="626"/>
      <c r="J41" s="626"/>
      <c r="K41" s="626"/>
      <c r="L41" s="627"/>
      <c r="M41" s="2"/>
      <c r="O41" s="2"/>
      <c r="P41" s="2"/>
    </row>
    <row r="42" spans="1:16" x14ac:dyDescent="0.35">
      <c r="B42" s="719"/>
      <c r="C42" s="626"/>
      <c r="D42" s="626"/>
      <c r="E42" s="626"/>
      <c r="F42" s="626"/>
      <c r="G42" s="626"/>
      <c r="H42" s="626"/>
      <c r="I42" s="626"/>
      <c r="J42" s="626"/>
      <c r="K42" s="626"/>
      <c r="L42" s="627"/>
      <c r="M42" s="2"/>
    </row>
    <row r="43" spans="1:16" x14ac:dyDescent="0.35">
      <c r="B43" s="719">
        <v>4</v>
      </c>
      <c r="C43" s="626"/>
      <c r="D43" s="626"/>
      <c r="E43" s="626"/>
      <c r="F43" s="626"/>
      <c r="G43" s="626"/>
      <c r="H43" s="626"/>
      <c r="I43" s="626"/>
      <c r="J43" s="626"/>
      <c r="K43" s="626"/>
      <c r="L43" s="627"/>
      <c r="M43" s="2"/>
      <c r="O43" s="2"/>
      <c r="P43" s="2"/>
    </row>
    <row r="44" spans="1:16" x14ac:dyDescent="0.35">
      <c r="B44" s="719"/>
      <c r="C44" s="626"/>
      <c r="D44" s="626"/>
      <c r="E44" s="626"/>
      <c r="F44" s="626"/>
      <c r="G44" s="626"/>
      <c r="H44" s="626"/>
      <c r="I44" s="626"/>
      <c r="J44" s="626"/>
      <c r="K44" s="626"/>
      <c r="L44" s="627"/>
      <c r="M44" s="2"/>
      <c r="O44" s="2"/>
      <c r="P44" s="2"/>
    </row>
    <row r="45" spans="1:16" x14ac:dyDescent="0.35">
      <c r="B45" s="719">
        <v>5</v>
      </c>
      <c r="C45" s="626"/>
      <c r="D45" s="626"/>
      <c r="E45" s="626"/>
      <c r="F45" s="626"/>
      <c r="G45" s="626"/>
      <c r="H45" s="626"/>
      <c r="I45" s="626"/>
      <c r="J45" s="626"/>
      <c r="K45" s="626"/>
      <c r="L45" s="627"/>
      <c r="M45" s="2"/>
    </row>
    <row r="46" spans="1:16" x14ac:dyDescent="0.35">
      <c r="B46" s="719"/>
      <c r="C46" s="626"/>
      <c r="D46" s="626"/>
      <c r="E46" s="626"/>
      <c r="F46" s="626"/>
      <c r="G46" s="626"/>
      <c r="H46" s="626"/>
      <c r="I46" s="626"/>
      <c r="J46" s="626"/>
      <c r="K46" s="626"/>
      <c r="L46" s="627"/>
      <c r="M46" s="2"/>
    </row>
    <row r="47" spans="1:16" x14ac:dyDescent="0.35">
      <c r="B47" s="719">
        <v>6</v>
      </c>
      <c r="C47" s="626"/>
      <c r="D47" s="626"/>
      <c r="E47" s="626"/>
      <c r="F47" s="626"/>
      <c r="G47" s="626"/>
      <c r="H47" s="626"/>
      <c r="I47" s="626"/>
      <c r="J47" s="626"/>
      <c r="K47" s="626"/>
      <c r="L47" s="627"/>
      <c r="M47" s="2"/>
    </row>
    <row r="48" spans="1:16" x14ac:dyDescent="0.35">
      <c r="B48" s="719"/>
      <c r="C48" s="626"/>
      <c r="D48" s="626"/>
      <c r="E48" s="626"/>
      <c r="F48" s="626"/>
      <c r="G48" s="626"/>
      <c r="H48" s="626"/>
      <c r="I48" s="626"/>
      <c r="J48" s="626"/>
      <c r="K48" s="626"/>
      <c r="L48" s="627"/>
      <c r="M48" s="2"/>
    </row>
    <row r="49" spans="1:16" x14ac:dyDescent="0.35">
      <c r="B49" s="719">
        <v>7</v>
      </c>
      <c r="C49" s="626"/>
      <c r="D49" s="626"/>
      <c r="E49" s="626"/>
      <c r="F49" s="626"/>
      <c r="G49" s="626"/>
      <c r="H49" s="626"/>
      <c r="I49" s="626"/>
      <c r="J49" s="626"/>
      <c r="K49" s="626"/>
      <c r="L49" s="627"/>
      <c r="M49" s="2"/>
    </row>
    <row r="50" spans="1:16" x14ac:dyDescent="0.35">
      <c r="B50" s="719"/>
      <c r="C50" s="626"/>
      <c r="D50" s="626"/>
      <c r="E50" s="626"/>
      <c r="F50" s="626"/>
      <c r="G50" s="626"/>
      <c r="H50" s="626"/>
      <c r="I50" s="626"/>
      <c r="J50" s="626"/>
      <c r="K50" s="626"/>
      <c r="L50" s="627"/>
      <c r="M50" s="2"/>
    </row>
    <row r="51" spans="1:16" x14ac:dyDescent="0.35">
      <c r="B51" s="719">
        <v>8</v>
      </c>
      <c r="C51" s="626"/>
      <c r="D51" s="626"/>
      <c r="E51" s="626"/>
      <c r="F51" s="626"/>
      <c r="G51" s="626"/>
      <c r="H51" s="626"/>
      <c r="I51" s="626"/>
      <c r="J51" s="626"/>
      <c r="K51" s="626"/>
      <c r="L51" s="627"/>
      <c r="M51" s="2"/>
    </row>
    <row r="52" spans="1:16" x14ac:dyDescent="0.35">
      <c r="B52" s="719"/>
      <c r="C52" s="626"/>
      <c r="D52" s="626"/>
      <c r="E52" s="626"/>
      <c r="F52" s="626"/>
      <c r="G52" s="626"/>
      <c r="H52" s="626"/>
      <c r="I52" s="626"/>
      <c r="J52" s="626"/>
      <c r="K52" s="626"/>
      <c r="L52" s="627"/>
      <c r="M52" s="2"/>
    </row>
    <row r="53" spans="1:16" x14ac:dyDescent="0.35">
      <c r="B53" s="719">
        <v>9</v>
      </c>
      <c r="C53" s="626"/>
      <c r="D53" s="626"/>
      <c r="E53" s="626"/>
      <c r="F53" s="626"/>
      <c r="G53" s="626"/>
      <c r="H53" s="626"/>
      <c r="I53" s="626"/>
      <c r="J53" s="626"/>
      <c r="K53" s="626"/>
      <c r="L53" s="627"/>
      <c r="M53" s="2"/>
    </row>
    <row r="54" spans="1:16" x14ac:dyDescent="0.35">
      <c r="B54" s="719"/>
      <c r="C54" s="626"/>
      <c r="D54" s="626"/>
      <c r="E54" s="626"/>
      <c r="F54" s="626"/>
      <c r="G54" s="626"/>
      <c r="H54" s="626"/>
      <c r="I54" s="626"/>
      <c r="J54" s="626"/>
      <c r="K54" s="626"/>
      <c r="L54" s="627"/>
      <c r="M54" s="2"/>
    </row>
    <row r="55" spans="1:16" x14ac:dyDescent="0.35">
      <c r="B55" s="719">
        <v>10</v>
      </c>
      <c r="C55" s="626"/>
      <c r="D55" s="626"/>
      <c r="E55" s="626"/>
      <c r="F55" s="626"/>
      <c r="G55" s="626"/>
      <c r="H55" s="626"/>
      <c r="I55" s="626"/>
      <c r="J55" s="626"/>
      <c r="K55" s="626"/>
      <c r="L55" s="627"/>
      <c r="M55" s="2"/>
    </row>
    <row r="56" spans="1:16" x14ac:dyDescent="0.35">
      <c r="B56" s="719"/>
      <c r="C56" s="626"/>
      <c r="D56" s="626"/>
      <c r="E56" s="626"/>
      <c r="F56" s="626"/>
      <c r="G56" s="626"/>
      <c r="H56" s="626"/>
      <c r="I56" s="626"/>
      <c r="J56" s="626"/>
      <c r="K56" s="626"/>
      <c r="L56" s="627"/>
      <c r="M56" s="2"/>
    </row>
    <row r="57" spans="1:16" s="152" customFormat="1" x14ac:dyDescent="0.35">
      <c r="A57" s="172"/>
      <c r="B57" s="186"/>
      <c r="C57" s="187"/>
      <c r="D57" s="187"/>
      <c r="E57" s="187"/>
      <c r="F57" s="187"/>
      <c r="G57" s="187"/>
      <c r="H57" s="187"/>
      <c r="I57" s="187"/>
      <c r="J57" s="187"/>
      <c r="K57" s="187"/>
      <c r="L57" s="185"/>
      <c r="O57" s="9"/>
      <c r="P57" s="9"/>
    </row>
    <row r="58" spans="1:16" s="3" customFormat="1" x14ac:dyDescent="0.35">
      <c r="A58" s="12"/>
      <c r="B58" s="710" t="s">
        <v>26</v>
      </c>
      <c r="C58" s="711"/>
      <c r="D58" s="711"/>
      <c r="E58" s="711"/>
      <c r="F58" s="711"/>
      <c r="G58" s="711"/>
      <c r="H58" s="711"/>
      <c r="I58" s="711"/>
      <c r="J58" s="711"/>
      <c r="K58" s="711"/>
      <c r="L58" s="712"/>
      <c r="M58" s="167"/>
      <c r="O58" s="154"/>
      <c r="P58" s="154"/>
    </row>
    <row r="59" spans="1:16" s="152" customFormat="1" x14ac:dyDescent="0.35">
      <c r="A59" s="172"/>
      <c r="B59" s="184"/>
      <c r="C59" s="173"/>
      <c r="D59" s="173"/>
      <c r="E59" s="173"/>
      <c r="F59" s="173"/>
      <c r="G59" s="173"/>
      <c r="H59" s="173"/>
      <c r="I59" s="173"/>
      <c r="J59" s="173"/>
      <c r="K59" s="173"/>
      <c r="L59" s="174"/>
      <c r="O59" s="9"/>
      <c r="P59" s="9"/>
    </row>
    <row r="60" spans="1:16" s="152" customFormat="1" x14ac:dyDescent="0.35">
      <c r="A60" s="172"/>
      <c r="B60" s="602" t="str">
        <f>IF(Intro!$G$21="English",O60,P60)</f>
        <v>Fournissez des détails sur tout changement dans la propriété majoritaire de votre entreprise depuis le 1er janvier 2023.</v>
      </c>
      <c r="C60" s="603"/>
      <c r="D60" s="603"/>
      <c r="E60" s="603"/>
      <c r="F60" s="603"/>
      <c r="G60" s="603"/>
      <c r="H60" s="603"/>
      <c r="I60" s="603"/>
      <c r="J60" s="603"/>
      <c r="K60" s="603"/>
      <c r="L60" s="604"/>
      <c r="O60" s="9" t="str">
        <f>"Provide details of any change of majority ownership of your firm since January 1, "&amp;Variables!B6&amp;"."</f>
        <v>Provide details of any change of majority ownership of your firm since January 1, 2023.</v>
      </c>
      <c r="P60" s="9"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61" spans="1:16" s="152" customFormat="1" x14ac:dyDescent="0.35">
      <c r="A61" s="172"/>
      <c r="B61" s="184"/>
      <c r="C61" s="173"/>
      <c r="D61" s="173"/>
      <c r="E61" s="173"/>
      <c r="F61" s="173"/>
      <c r="G61" s="173"/>
      <c r="H61" s="173"/>
      <c r="I61" s="173"/>
      <c r="J61" s="173"/>
      <c r="K61" s="173"/>
      <c r="L61" s="174"/>
      <c r="O61" s="9"/>
      <c r="P61" s="9"/>
    </row>
    <row r="62" spans="1:16" s="3" customFormat="1" x14ac:dyDescent="0.35">
      <c r="A62" s="12"/>
      <c r="B62" s="704"/>
      <c r="C62" s="705"/>
      <c r="D62" s="705"/>
      <c r="E62" s="705"/>
      <c r="F62" s="705"/>
      <c r="G62" s="705"/>
      <c r="H62" s="705"/>
      <c r="I62" s="705"/>
      <c r="J62" s="705"/>
      <c r="K62" s="705"/>
      <c r="L62" s="706"/>
      <c r="M62" s="152"/>
      <c r="O62" s="154"/>
      <c r="P62" s="154"/>
    </row>
    <row r="63" spans="1:16" s="3" customFormat="1" x14ac:dyDescent="0.35">
      <c r="A63" s="12"/>
      <c r="B63" s="704"/>
      <c r="C63" s="705"/>
      <c r="D63" s="705"/>
      <c r="E63" s="705"/>
      <c r="F63" s="705"/>
      <c r="G63" s="705"/>
      <c r="H63" s="705"/>
      <c r="I63" s="705"/>
      <c r="J63" s="705"/>
      <c r="K63" s="705"/>
      <c r="L63" s="706"/>
      <c r="M63" s="152"/>
      <c r="O63" s="154"/>
      <c r="P63" s="154"/>
    </row>
    <row r="64" spans="1:16" s="3" customFormat="1" x14ac:dyDescent="0.35">
      <c r="A64" s="12"/>
      <c r="B64" s="704"/>
      <c r="C64" s="705"/>
      <c r="D64" s="705"/>
      <c r="E64" s="705"/>
      <c r="F64" s="705"/>
      <c r="G64" s="705"/>
      <c r="H64" s="705"/>
      <c r="I64" s="705"/>
      <c r="J64" s="705"/>
      <c r="K64" s="705"/>
      <c r="L64" s="706"/>
      <c r="M64" s="152"/>
      <c r="O64" s="154"/>
      <c r="P64" s="154"/>
    </row>
    <row r="65" spans="1:16" s="3" customFormat="1" x14ac:dyDescent="0.35">
      <c r="A65" s="12"/>
      <c r="B65" s="704"/>
      <c r="C65" s="705"/>
      <c r="D65" s="705"/>
      <c r="E65" s="705"/>
      <c r="F65" s="705"/>
      <c r="G65" s="705"/>
      <c r="H65" s="705"/>
      <c r="I65" s="705"/>
      <c r="J65" s="705"/>
      <c r="K65" s="705"/>
      <c r="L65" s="706"/>
      <c r="M65" s="152"/>
      <c r="O65" s="154"/>
      <c r="P65" s="154"/>
    </row>
    <row r="66" spans="1:16" s="3" customFormat="1" x14ac:dyDescent="0.35">
      <c r="A66" s="12"/>
      <c r="B66" s="704"/>
      <c r="C66" s="705"/>
      <c r="D66" s="705"/>
      <c r="E66" s="705"/>
      <c r="F66" s="705"/>
      <c r="G66" s="705"/>
      <c r="H66" s="705"/>
      <c r="I66" s="705"/>
      <c r="J66" s="705"/>
      <c r="K66" s="705"/>
      <c r="L66" s="706"/>
      <c r="M66" s="152"/>
      <c r="O66" s="154"/>
      <c r="P66" s="154"/>
    </row>
    <row r="67" spans="1:16" s="3" customFormat="1" x14ac:dyDescent="0.35">
      <c r="A67" s="12"/>
      <c r="B67" s="704"/>
      <c r="C67" s="705"/>
      <c r="D67" s="705"/>
      <c r="E67" s="705"/>
      <c r="F67" s="705"/>
      <c r="G67" s="705"/>
      <c r="H67" s="705"/>
      <c r="I67" s="705"/>
      <c r="J67" s="705"/>
      <c r="K67" s="705"/>
      <c r="L67" s="706"/>
      <c r="M67" s="152"/>
      <c r="O67" s="154"/>
      <c r="P67" s="154"/>
    </row>
    <row r="68" spans="1:16" s="3" customFormat="1" x14ac:dyDescent="0.35">
      <c r="A68" s="12"/>
      <c r="B68" s="704"/>
      <c r="C68" s="705"/>
      <c r="D68" s="705"/>
      <c r="E68" s="705"/>
      <c r="F68" s="705"/>
      <c r="G68" s="705"/>
      <c r="H68" s="705"/>
      <c r="I68" s="705"/>
      <c r="J68" s="705"/>
      <c r="K68" s="705"/>
      <c r="L68" s="706"/>
      <c r="M68" s="152"/>
      <c r="O68" s="154"/>
      <c r="P68" s="154"/>
    </row>
    <row r="69" spans="1:16" s="3" customFormat="1" x14ac:dyDescent="0.35">
      <c r="A69" s="12"/>
      <c r="B69" s="704"/>
      <c r="C69" s="705"/>
      <c r="D69" s="705"/>
      <c r="E69" s="705"/>
      <c r="F69" s="705"/>
      <c r="G69" s="705"/>
      <c r="H69" s="705"/>
      <c r="I69" s="705"/>
      <c r="J69" s="705"/>
      <c r="K69" s="705"/>
      <c r="L69" s="706"/>
      <c r="M69" s="152"/>
      <c r="O69" s="154"/>
      <c r="P69" s="154"/>
    </row>
    <row r="70" spans="1:16" s="152" customFormat="1" x14ac:dyDescent="0.35">
      <c r="A70" s="172"/>
      <c r="B70" s="186"/>
      <c r="C70" s="187"/>
      <c r="D70" s="187"/>
      <c r="E70" s="187"/>
      <c r="F70" s="187"/>
      <c r="G70" s="187"/>
      <c r="H70" s="187"/>
      <c r="I70" s="187"/>
      <c r="J70" s="187"/>
      <c r="K70" s="187"/>
      <c r="L70" s="185"/>
      <c r="O70" s="9"/>
      <c r="P70" s="9"/>
    </row>
    <row r="71" spans="1:16" s="3" customFormat="1" x14ac:dyDescent="0.35">
      <c r="A71" s="12"/>
      <c r="B71" s="710" t="s">
        <v>27</v>
      </c>
      <c r="C71" s="711"/>
      <c r="D71" s="711"/>
      <c r="E71" s="711"/>
      <c r="F71" s="711"/>
      <c r="G71" s="711"/>
      <c r="H71" s="711"/>
      <c r="I71" s="711"/>
      <c r="J71" s="711"/>
      <c r="K71" s="711"/>
      <c r="L71" s="712"/>
      <c r="M71" s="167"/>
      <c r="O71" s="154"/>
      <c r="P71" s="154"/>
    </row>
    <row r="72" spans="1:16" s="152" customFormat="1" x14ac:dyDescent="0.35">
      <c r="A72" s="172"/>
      <c r="B72" s="184"/>
      <c r="C72" s="173"/>
      <c r="D72" s="173"/>
      <c r="E72" s="173"/>
      <c r="F72" s="173"/>
      <c r="G72" s="173"/>
      <c r="H72" s="173"/>
      <c r="I72" s="173"/>
      <c r="J72" s="173"/>
      <c r="K72" s="173"/>
      <c r="L72" s="174"/>
      <c r="O72" s="9"/>
      <c r="P72" s="9"/>
    </row>
    <row r="73" spans="1:16" s="152" customFormat="1" x14ac:dyDescent="0.35">
      <c r="A73" s="172"/>
      <c r="B73" s="602" t="str">
        <f>IF(Intro!$G$21="English",O73,P73)</f>
        <v>Si votre entreprise est cotée en bourse, précisez quelle bourse et le symbole boursier.</v>
      </c>
      <c r="C73" s="603"/>
      <c r="D73" s="603"/>
      <c r="E73" s="603"/>
      <c r="F73" s="603"/>
      <c r="G73" s="603"/>
      <c r="H73" s="603"/>
      <c r="I73" s="603"/>
      <c r="J73" s="603"/>
      <c r="K73" s="603"/>
      <c r="L73" s="604"/>
      <c r="O73" s="9" t="s">
        <v>136</v>
      </c>
      <c r="P73" s="9" t="s">
        <v>137</v>
      </c>
    </row>
    <row r="74" spans="1:16" s="152" customFormat="1" x14ac:dyDescent="0.35">
      <c r="A74" s="172"/>
      <c r="B74" s="184"/>
      <c r="C74" s="173"/>
      <c r="D74" s="173"/>
      <c r="E74" s="173"/>
      <c r="F74" s="173"/>
      <c r="G74" s="173"/>
      <c r="H74" s="173"/>
      <c r="I74" s="173"/>
      <c r="J74" s="173"/>
      <c r="K74" s="173"/>
      <c r="L74" s="174"/>
      <c r="O74" s="9"/>
      <c r="P74" s="9"/>
    </row>
    <row r="75" spans="1:16" s="3" customFormat="1" x14ac:dyDescent="0.35">
      <c r="A75" s="12"/>
      <c r="B75" s="704"/>
      <c r="C75" s="705"/>
      <c r="D75" s="705"/>
      <c r="E75" s="705"/>
      <c r="F75" s="705"/>
      <c r="G75" s="705"/>
      <c r="H75" s="705"/>
      <c r="I75" s="705"/>
      <c r="J75" s="705"/>
      <c r="K75" s="705"/>
      <c r="L75" s="706"/>
      <c r="M75" s="152"/>
      <c r="O75" s="154"/>
      <c r="P75" s="154"/>
    </row>
    <row r="76" spans="1:16" s="3" customFormat="1" x14ac:dyDescent="0.35">
      <c r="A76" s="12"/>
      <c r="B76" s="704"/>
      <c r="C76" s="705"/>
      <c r="D76" s="705"/>
      <c r="E76" s="705"/>
      <c r="F76" s="705"/>
      <c r="G76" s="705"/>
      <c r="H76" s="705"/>
      <c r="I76" s="705"/>
      <c r="J76" s="705"/>
      <c r="K76" s="705"/>
      <c r="L76" s="706"/>
      <c r="M76" s="152"/>
      <c r="O76" s="154"/>
      <c r="P76" s="154"/>
    </row>
    <row r="77" spans="1:16" s="3" customFormat="1" x14ac:dyDescent="0.35">
      <c r="A77" s="12"/>
      <c r="B77" s="704"/>
      <c r="C77" s="705"/>
      <c r="D77" s="705"/>
      <c r="E77" s="705"/>
      <c r="F77" s="705"/>
      <c r="G77" s="705"/>
      <c r="H77" s="705"/>
      <c r="I77" s="705"/>
      <c r="J77" s="705"/>
      <c r="K77" s="705"/>
      <c r="L77" s="706"/>
      <c r="M77" s="152"/>
      <c r="O77" s="154"/>
      <c r="P77" s="154"/>
    </row>
    <row r="78" spans="1:16" s="3" customFormat="1" x14ac:dyDescent="0.35">
      <c r="A78" s="12"/>
      <c r="B78" s="704"/>
      <c r="C78" s="705"/>
      <c r="D78" s="705"/>
      <c r="E78" s="705"/>
      <c r="F78" s="705"/>
      <c r="G78" s="705"/>
      <c r="H78" s="705"/>
      <c r="I78" s="705"/>
      <c r="J78" s="705"/>
      <c r="K78" s="705"/>
      <c r="L78" s="706"/>
      <c r="M78" s="152"/>
      <c r="O78" s="154"/>
      <c r="P78" s="154"/>
    </row>
    <row r="79" spans="1:16" s="3" customFormat="1" x14ac:dyDescent="0.35">
      <c r="A79" s="12"/>
      <c r="B79" s="704"/>
      <c r="C79" s="705"/>
      <c r="D79" s="705"/>
      <c r="E79" s="705"/>
      <c r="F79" s="705"/>
      <c r="G79" s="705"/>
      <c r="H79" s="705"/>
      <c r="I79" s="705"/>
      <c r="J79" s="705"/>
      <c r="K79" s="705"/>
      <c r="L79" s="706"/>
      <c r="M79" s="152"/>
      <c r="O79" s="154"/>
      <c r="P79" s="154"/>
    </row>
    <row r="80" spans="1:16" s="3" customFormat="1" x14ac:dyDescent="0.35">
      <c r="A80" s="12"/>
      <c r="B80" s="704"/>
      <c r="C80" s="705"/>
      <c r="D80" s="705"/>
      <c r="E80" s="705"/>
      <c r="F80" s="705"/>
      <c r="G80" s="705"/>
      <c r="H80" s="705"/>
      <c r="I80" s="705"/>
      <c r="J80" s="705"/>
      <c r="K80" s="705"/>
      <c r="L80" s="706"/>
      <c r="M80" s="152"/>
      <c r="O80" s="154"/>
      <c r="P80" s="154"/>
    </row>
    <row r="81" spans="1:16" s="3" customFormat="1" x14ac:dyDescent="0.35">
      <c r="A81" s="12"/>
      <c r="B81" s="704"/>
      <c r="C81" s="705"/>
      <c r="D81" s="705"/>
      <c r="E81" s="705"/>
      <c r="F81" s="705"/>
      <c r="G81" s="705"/>
      <c r="H81" s="705"/>
      <c r="I81" s="705"/>
      <c r="J81" s="705"/>
      <c r="K81" s="705"/>
      <c r="L81" s="706"/>
      <c r="M81" s="152"/>
      <c r="O81" s="154"/>
      <c r="P81" s="154"/>
    </row>
    <row r="82" spans="1:16" s="3" customFormat="1" x14ac:dyDescent="0.35">
      <c r="A82" s="12"/>
      <c r="B82" s="704"/>
      <c r="C82" s="705"/>
      <c r="D82" s="705"/>
      <c r="E82" s="705"/>
      <c r="F82" s="705"/>
      <c r="G82" s="705"/>
      <c r="H82" s="705"/>
      <c r="I82" s="705"/>
      <c r="J82" s="705"/>
      <c r="K82" s="705"/>
      <c r="L82" s="706"/>
      <c r="M82" s="152"/>
      <c r="O82" s="154"/>
      <c r="P82" s="154"/>
    </row>
    <row r="83" spans="1:16" s="152" customFormat="1" x14ac:dyDescent="0.35">
      <c r="A83" s="172"/>
      <c r="B83" s="186"/>
      <c r="C83" s="187"/>
      <c r="D83" s="187"/>
      <c r="E83" s="187"/>
      <c r="F83" s="187"/>
      <c r="G83" s="187"/>
      <c r="H83" s="187"/>
      <c r="I83" s="187"/>
      <c r="J83" s="187"/>
      <c r="K83" s="187"/>
      <c r="L83" s="185"/>
      <c r="O83" s="9"/>
      <c r="P83" s="9"/>
    </row>
    <row r="84" spans="1:16" s="3" customFormat="1" x14ac:dyDescent="0.35">
      <c r="A84" s="12"/>
      <c r="B84" s="710" t="s">
        <v>28</v>
      </c>
      <c r="C84" s="711"/>
      <c r="D84" s="711"/>
      <c r="E84" s="711"/>
      <c r="F84" s="711"/>
      <c r="G84" s="711"/>
      <c r="H84" s="711"/>
      <c r="I84" s="711"/>
      <c r="J84" s="711"/>
      <c r="K84" s="711"/>
      <c r="L84" s="712"/>
      <c r="M84" s="167"/>
      <c r="O84" s="154"/>
      <c r="P84" s="154"/>
    </row>
    <row r="85" spans="1:16" s="152" customFormat="1" x14ac:dyDescent="0.35">
      <c r="A85" s="172"/>
      <c r="B85" s="184"/>
      <c r="C85" s="173"/>
      <c r="D85" s="173"/>
      <c r="E85" s="173"/>
      <c r="F85" s="173"/>
      <c r="G85" s="173"/>
      <c r="H85" s="173"/>
      <c r="I85" s="173"/>
      <c r="J85" s="173"/>
      <c r="K85" s="173"/>
      <c r="L85" s="174"/>
      <c r="O85" s="9"/>
      <c r="P85" s="9"/>
    </row>
    <row r="86" spans="1:16" s="152" customFormat="1" x14ac:dyDescent="0.35">
      <c r="A86" s="172"/>
      <c r="B86" s="707" t="str">
        <f>IF(Intro!$G$21="English",O86,P86)</f>
        <v>Votre entreprise a-t-elle publié des rapports annuel à l’intention de ses actionnaires pour chaque année depuis le 1er janvier 2023?</v>
      </c>
      <c r="C86" s="708"/>
      <c r="D86" s="708"/>
      <c r="E86" s="708"/>
      <c r="F86" s="708"/>
      <c r="G86" s="708"/>
      <c r="H86" s="708"/>
      <c r="I86" s="708"/>
      <c r="J86" s="708"/>
      <c r="K86" s="708"/>
      <c r="L86" s="709"/>
      <c r="O86" s="9" t="str">
        <f>"Did your firm publish annual reports to shareholders for each year since January 1, "&amp;Variables!B6&amp;"?"</f>
        <v>Did your firm publish annual reports to shareholders for each year since January 1, 2023?</v>
      </c>
      <c r="P86" s="9" t="str">
        <f>"Votre entreprise a-t-elle publié des rapports annuel à l’intention de ses actionnaires pour chaque année depuis le 1er janvier "&amp;Variables!C6&amp;"?"</f>
        <v>Votre entreprise a-t-elle publié des rapports annuel à l’intention de ses actionnaires pour chaque année depuis le 1er janvier 2023?</v>
      </c>
    </row>
    <row r="87" spans="1:16" x14ac:dyDescent="0.35">
      <c r="B87" s="707"/>
      <c r="C87" s="708"/>
      <c r="D87" s="708"/>
      <c r="E87" s="708"/>
      <c r="F87" s="708"/>
      <c r="G87" s="708"/>
      <c r="H87" s="708"/>
      <c r="I87" s="708"/>
      <c r="J87" s="708"/>
      <c r="K87" s="708"/>
      <c r="L87" s="709"/>
      <c r="M87" s="2"/>
      <c r="O87" s="2"/>
      <c r="P87" s="2"/>
    </row>
    <row r="88" spans="1:16" x14ac:dyDescent="0.35">
      <c r="B88" s="736" t="str">
        <f>IF(Intro!$G$21="English",O88,P88)</f>
        <v>Sélectionnez oui ou non</v>
      </c>
      <c r="C88" s="737"/>
      <c r="D88" s="593"/>
      <c r="E88" s="151"/>
      <c r="F88" s="151"/>
      <c r="G88" s="151"/>
      <c r="H88" s="151"/>
      <c r="I88" s="151"/>
      <c r="J88" s="151"/>
      <c r="K88" s="151"/>
      <c r="L88" s="162"/>
      <c r="M88" s="2"/>
      <c r="O88" s="2" t="s">
        <v>360</v>
      </c>
      <c r="P88" s="2" t="s">
        <v>666</v>
      </c>
    </row>
    <row r="89" spans="1:16" x14ac:dyDescent="0.35">
      <c r="B89" s="223"/>
      <c r="C89" s="2"/>
      <c r="D89" s="151"/>
      <c r="E89" s="151"/>
      <c r="F89" s="151"/>
      <c r="G89" s="151"/>
      <c r="H89" s="151"/>
      <c r="I89" s="151"/>
      <c r="J89" s="151"/>
      <c r="K89" s="151"/>
      <c r="L89" s="162"/>
      <c r="M89" s="2"/>
      <c r="O89" s="11"/>
      <c r="P89" s="2"/>
    </row>
    <row r="90" spans="1:16" s="152" customFormat="1" x14ac:dyDescent="0.35">
      <c r="A90" s="172"/>
      <c r="B90" s="707" t="str">
        <f>IF(Intro!$G$21="English",O90,P90)</f>
        <v>Si oui, fournissez des copies électroniques pour chaque année depuis le 1er janvier 2023.</v>
      </c>
      <c r="C90" s="708"/>
      <c r="D90" s="708"/>
      <c r="E90" s="708"/>
      <c r="F90" s="708"/>
      <c r="G90" s="708"/>
      <c r="H90" s="708"/>
      <c r="I90" s="708"/>
      <c r="J90" s="708"/>
      <c r="K90" s="708"/>
      <c r="L90" s="709"/>
      <c r="O90" s="9" t="str">
        <f>"If yes, please provide copies of the annual report for each year since January 1, "&amp;Variables!B6&amp;"."</f>
        <v>If yes, please provide copies of the annual report for each year since January 1, 2023.</v>
      </c>
      <c r="P90" s="9" t="str">
        <f>"Si oui, fournissez des copies électroniques pour chaque année depuis le 1er janvier "&amp;Variables!C6&amp;"."</f>
        <v>Si oui, fournissez des copies électroniques pour chaque année depuis le 1er janvier 2023.</v>
      </c>
    </row>
    <row r="91" spans="1:16" s="152" customFormat="1" x14ac:dyDescent="0.35">
      <c r="A91" s="172"/>
      <c r="B91" s="186"/>
      <c r="C91" s="187"/>
      <c r="D91" s="187"/>
      <c r="E91" s="187"/>
      <c r="F91" s="187"/>
      <c r="G91" s="187"/>
      <c r="H91" s="187"/>
      <c r="I91" s="187"/>
      <c r="J91" s="187"/>
      <c r="K91" s="187"/>
      <c r="L91" s="185"/>
      <c r="O91" s="9"/>
      <c r="P91" s="9"/>
    </row>
    <row r="92" spans="1:16" s="9" customFormat="1" x14ac:dyDescent="0.35">
      <c r="A92" s="13"/>
      <c r="B92" s="22"/>
      <c r="C92" s="22"/>
      <c r="D92" s="22"/>
      <c r="E92" s="23"/>
      <c r="F92" s="23"/>
      <c r="G92" s="23"/>
      <c r="H92" s="23"/>
      <c r="I92" s="23"/>
      <c r="J92" s="23"/>
      <c r="K92" s="23"/>
      <c r="L92" s="23"/>
      <c r="O92" s="10"/>
      <c r="P92" s="10"/>
    </row>
    <row r="93" spans="1:16" x14ac:dyDescent="0.35">
      <c r="B93" s="599" t="str">
        <f>IF(Intro!$G$21="English",O93,P93)</f>
        <v>PRODUCTION ET CAPACITÉ</v>
      </c>
      <c r="C93" s="600"/>
      <c r="D93" s="600"/>
      <c r="E93" s="600"/>
      <c r="F93" s="600"/>
      <c r="G93" s="600"/>
      <c r="H93" s="600"/>
      <c r="I93" s="600"/>
      <c r="J93" s="600"/>
      <c r="K93" s="600"/>
      <c r="L93" s="601"/>
      <c r="M93" s="152"/>
      <c r="O93" s="198" t="s">
        <v>637</v>
      </c>
      <c r="P93" s="198" t="s">
        <v>638</v>
      </c>
    </row>
    <row r="94" spans="1:16" s="3" customFormat="1" x14ac:dyDescent="0.35">
      <c r="A94" s="12"/>
      <c r="B94" s="710" t="s">
        <v>30</v>
      </c>
      <c r="C94" s="711"/>
      <c r="D94" s="711"/>
      <c r="E94" s="711"/>
      <c r="F94" s="711"/>
      <c r="G94" s="711"/>
      <c r="H94" s="711"/>
      <c r="I94" s="711"/>
      <c r="J94" s="711"/>
      <c r="K94" s="711"/>
      <c r="L94" s="712"/>
      <c r="M94" s="167"/>
      <c r="O94" s="154"/>
      <c r="P94" s="154"/>
    </row>
    <row r="95" spans="1:16" s="152" customFormat="1" x14ac:dyDescent="0.35">
      <c r="A95" s="172"/>
      <c r="B95" s="184"/>
      <c r="C95" s="173"/>
      <c r="D95" s="173"/>
      <c r="E95" s="173"/>
      <c r="F95" s="173"/>
      <c r="G95" s="173"/>
      <c r="H95" s="173"/>
      <c r="I95" s="173"/>
      <c r="J95" s="173"/>
      <c r="K95" s="173"/>
      <c r="L95" s="174"/>
      <c r="O95" s="9"/>
      <c r="P95" s="9"/>
    </row>
    <row r="96" spans="1:16" s="152" customFormat="1" x14ac:dyDescent="0.35">
      <c r="A96" s="172"/>
      <c r="B96" s="707" t="str">
        <f>IF(Intro!$G$21="English",O96,P96)</f>
        <v>Fournissez les renseignements suivants associés à la production canadienne de tous les produits de votre entreprise.</v>
      </c>
      <c r="C96" s="708"/>
      <c r="D96" s="708"/>
      <c r="E96" s="708"/>
      <c r="F96" s="708"/>
      <c r="G96" s="708"/>
      <c r="H96" s="708"/>
      <c r="I96" s="708"/>
      <c r="J96" s="708"/>
      <c r="K96" s="708"/>
      <c r="L96" s="709"/>
      <c r="O96" s="9" t="s">
        <v>287</v>
      </c>
      <c r="P96" s="9" t="s">
        <v>288</v>
      </c>
    </row>
    <row r="97" spans="1:16" s="152" customFormat="1" x14ac:dyDescent="0.35">
      <c r="A97" s="172"/>
      <c r="B97" s="184"/>
      <c r="C97" s="173"/>
      <c r="D97" s="173"/>
      <c r="E97" s="173"/>
      <c r="F97" s="173"/>
      <c r="G97" s="173"/>
      <c r="H97" s="173"/>
      <c r="I97" s="173"/>
      <c r="J97" s="173"/>
      <c r="K97" s="173"/>
      <c r="L97" s="174"/>
    </row>
    <row r="98" spans="1:16" x14ac:dyDescent="0.35">
      <c r="B98" s="220"/>
      <c r="C98" s="734" t="str">
        <f>IF(Intro!$G$21="English",O98,P98)</f>
        <v xml:space="preserve">Dénomination sociale et emplacement de l'établissement </v>
      </c>
      <c r="D98" s="734"/>
      <c r="E98" s="734" t="str">
        <f>IF(Intro!$G$21="English",O99,P99)</f>
        <v>Expliquez si cette installation produit les marchandises destinées au marché canadien et/ou au marché d'exportation</v>
      </c>
      <c r="F98" s="734"/>
      <c r="G98" s="734" t="str">
        <f>IF(Intro!$G$21="English",O100,P100)</f>
        <v>Description et spécifications des marchandises produites</v>
      </c>
      <c r="H98" s="734"/>
      <c r="I98" s="734" t="str">
        <f>IF(Intro!$G$21="English",O101,P101)</f>
        <v>Si cette installation ne produit pas les marchandises, quelles modifications seraient nécessaires pour pouvoir produire les marchandises?</v>
      </c>
      <c r="J98" s="734"/>
      <c r="K98" s="734" t="str">
        <f>IF(Intro!$G$21="English",O102,P102)</f>
        <v>Quels autres produits, le cas échéant, pourraient être fabriqués à l’aide du même outillage utilisé pour la production des marchandises?</v>
      </c>
      <c r="L98" s="735"/>
      <c r="M98" s="2"/>
      <c r="O98" s="9" t="s">
        <v>29</v>
      </c>
      <c r="P98" s="9" t="s">
        <v>138</v>
      </c>
    </row>
    <row r="99" spans="1:16" x14ac:dyDescent="0.35">
      <c r="B99" s="220"/>
      <c r="C99" s="734"/>
      <c r="D99" s="734"/>
      <c r="E99" s="734"/>
      <c r="F99" s="734"/>
      <c r="G99" s="734"/>
      <c r="H99" s="734"/>
      <c r="I99" s="734"/>
      <c r="J99" s="734"/>
      <c r="K99" s="734"/>
      <c r="L99" s="735"/>
      <c r="M99" s="2"/>
      <c r="O99" s="9" t="s">
        <v>587</v>
      </c>
      <c r="P99" s="9" t="s">
        <v>586</v>
      </c>
    </row>
    <row r="100" spans="1:16" x14ac:dyDescent="0.35">
      <c r="B100" s="220"/>
      <c r="C100" s="734"/>
      <c r="D100" s="734"/>
      <c r="E100" s="734"/>
      <c r="F100" s="734"/>
      <c r="G100" s="734"/>
      <c r="H100" s="734"/>
      <c r="I100" s="734"/>
      <c r="J100" s="734"/>
      <c r="K100" s="734"/>
      <c r="L100" s="735"/>
      <c r="M100" s="2"/>
      <c r="O100" s="9" t="s">
        <v>340</v>
      </c>
      <c r="P100" s="9" t="s">
        <v>341</v>
      </c>
    </row>
    <row r="101" spans="1:16" x14ac:dyDescent="0.35">
      <c r="B101" s="220"/>
      <c r="C101" s="734"/>
      <c r="D101" s="734"/>
      <c r="E101" s="734"/>
      <c r="F101" s="734"/>
      <c r="G101" s="734"/>
      <c r="H101" s="734"/>
      <c r="I101" s="734"/>
      <c r="J101" s="734"/>
      <c r="K101" s="734"/>
      <c r="L101" s="735"/>
      <c r="M101" s="2"/>
      <c r="O101" s="9" t="s">
        <v>343</v>
      </c>
      <c r="P101" s="9" t="s">
        <v>342</v>
      </c>
    </row>
    <row r="102" spans="1:16" x14ac:dyDescent="0.35">
      <c r="B102" s="220"/>
      <c r="C102" s="734"/>
      <c r="D102" s="734"/>
      <c r="E102" s="734"/>
      <c r="F102" s="734"/>
      <c r="G102" s="734"/>
      <c r="H102" s="734"/>
      <c r="I102" s="734"/>
      <c r="J102" s="734"/>
      <c r="K102" s="734"/>
      <c r="L102" s="735"/>
      <c r="M102" s="2"/>
      <c r="O102" s="9" t="s">
        <v>32</v>
      </c>
      <c r="P102" s="9" t="s">
        <v>113</v>
      </c>
    </row>
    <row r="103" spans="1:16" x14ac:dyDescent="0.35">
      <c r="B103" s="220"/>
      <c r="C103" s="734"/>
      <c r="D103" s="734"/>
      <c r="E103" s="734"/>
      <c r="F103" s="734"/>
      <c r="G103" s="734"/>
      <c r="H103" s="734"/>
      <c r="I103" s="734"/>
      <c r="J103" s="734"/>
      <c r="K103" s="734"/>
      <c r="L103" s="735"/>
      <c r="M103" s="2"/>
    </row>
    <row r="104" spans="1:16" x14ac:dyDescent="0.35">
      <c r="B104" s="719">
        <v>1</v>
      </c>
      <c r="C104" s="731"/>
      <c r="D104" s="626"/>
      <c r="E104" s="626"/>
      <c r="F104" s="626"/>
      <c r="G104" s="626"/>
      <c r="H104" s="626"/>
      <c r="I104" s="626"/>
      <c r="J104" s="626"/>
      <c r="K104" s="626"/>
      <c r="L104" s="627"/>
      <c r="M104" s="2"/>
      <c r="O104" s="2"/>
      <c r="P104" s="2"/>
    </row>
    <row r="105" spans="1:16" x14ac:dyDescent="0.35">
      <c r="B105" s="719"/>
      <c r="C105" s="731"/>
      <c r="D105" s="626"/>
      <c r="E105" s="626"/>
      <c r="F105" s="626"/>
      <c r="G105" s="626"/>
      <c r="H105" s="626"/>
      <c r="I105" s="626"/>
      <c r="J105" s="626"/>
      <c r="K105" s="626"/>
      <c r="L105" s="627"/>
      <c r="M105" s="2"/>
      <c r="O105" s="2"/>
      <c r="P105" s="2"/>
    </row>
    <row r="106" spans="1:16" x14ac:dyDescent="0.35">
      <c r="B106" s="719"/>
      <c r="C106" s="731"/>
      <c r="D106" s="626"/>
      <c r="E106" s="626"/>
      <c r="F106" s="626"/>
      <c r="G106" s="626"/>
      <c r="H106" s="626"/>
      <c r="I106" s="626"/>
      <c r="J106" s="626"/>
      <c r="K106" s="626"/>
      <c r="L106" s="627"/>
      <c r="M106" s="2"/>
      <c r="O106" s="2"/>
      <c r="P106" s="2"/>
    </row>
    <row r="107" spans="1:16" x14ac:dyDescent="0.35">
      <c r="B107" s="719"/>
      <c r="C107" s="731"/>
      <c r="D107" s="626"/>
      <c r="E107" s="626"/>
      <c r="F107" s="626"/>
      <c r="G107" s="626"/>
      <c r="H107" s="626"/>
      <c r="I107" s="626"/>
      <c r="J107" s="626"/>
      <c r="K107" s="626"/>
      <c r="L107" s="627"/>
      <c r="M107" s="2"/>
      <c r="O107" s="2"/>
      <c r="P107" s="2"/>
    </row>
    <row r="108" spans="1:16" x14ac:dyDescent="0.35">
      <c r="B108" s="719"/>
      <c r="C108" s="731"/>
      <c r="D108" s="626"/>
      <c r="E108" s="626"/>
      <c r="F108" s="626"/>
      <c r="G108" s="626"/>
      <c r="H108" s="626"/>
      <c r="I108" s="626"/>
      <c r="J108" s="626"/>
      <c r="K108" s="626"/>
      <c r="L108" s="627"/>
      <c r="M108" s="2"/>
      <c r="O108" s="2"/>
      <c r="P108" s="2"/>
    </row>
    <row r="109" spans="1:16" x14ac:dyDescent="0.35">
      <c r="B109" s="719"/>
      <c r="C109" s="731"/>
      <c r="D109" s="626"/>
      <c r="E109" s="626"/>
      <c r="F109" s="626"/>
      <c r="G109" s="626"/>
      <c r="H109" s="626"/>
      <c r="I109" s="626"/>
      <c r="J109" s="626"/>
      <c r="K109" s="626"/>
      <c r="L109" s="627"/>
      <c r="M109" s="2"/>
      <c r="O109" s="2"/>
      <c r="P109" s="2"/>
    </row>
    <row r="110" spans="1:16" x14ac:dyDescent="0.35">
      <c r="B110" s="719"/>
      <c r="C110" s="731"/>
      <c r="D110" s="626"/>
      <c r="E110" s="626"/>
      <c r="F110" s="626"/>
      <c r="G110" s="626"/>
      <c r="H110" s="626"/>
      <c r="I110" s="626"/>
      <c r="J110" s="626"/>
      <c r="K110" s="626"/>
      <c r="L110" s="627"/>
      <c r="M110" s="2"/>
      <c r="O110" s="2"/>
      <c r="P110" s="2"/>
    </row>
    <row r="111" spans="1:16" x14ac:dyDescent="0.35">
      <c r="B111" s="719"/>
      <c r="C111" s="731"/>
      <c r="D111" s="626"/>
      <c r="E111" s="626"/>
      <c r="F111" s="626"/>
      <c r="G111" s="626"/>
      <c r="H111" s="626"/>
      <c r="I111" s="626"/>
      <c r="J111" s="626"/>
      <c r="K111" s="626"/>
      <c r="L111" s="627"/>
      <c r="M111" s="2"/>
      <c r="O111" s="2"/>
      <c r="P111" s="2"/>
    </row>
    <row r="112" spans="1:16" x14ac:dyDescent="0.35">
      <c r="B112" s="719"/>
      <c r="C112" s="731"/>
      <c r="D112" s="626"/>
      <c r="E112" s="626"/>
      <c r="F112" s="626"/>
      <c r="G112" s="626"/>
      <c r="H112" s="626"/>
      <c r="I112" s="626"/>
      <c r="J112" s="626"/>
      <c r="K112" s="626"/>
      <c r="L112" s="627"/>
      <c r="M112" s="2"/>
      <c r="O112" s="2"/>
      <c r="P112" s="2"/>
    </row>
    <row r="113" spans="2:16" x14ac:dyDescent="0.35">
      <c r="B113" s="719"/>
      <c r="C113" s="731"/>
      <c r="D113" s="626"/>
      <c r="E113" s="626"/>
      <c r="F113" s="626"/>
      <c r="G113" s="626"/>
      <c r="H113" s="626"/>
      <c r="I113" s="626"/>
      <c r="J113" s="626"/>
      <c r="K113" s="626"/>
      <c r="L113" s="627"/>
      <c r="M113" s="2"/>
      <c r="O113" s="2"/>
      <c r="P113" s="2"/>
    </row>
    <row r="114" spans="2:16" x14ac:dyDescent="0.35">
      <c r="B114" s="719">
        <v>2</v>
      </c>
      <c r="C114" s="731"/>
      <c r="D114" s="626"/>
      <c r="E114" s="626"/>
      <c r="F114" s="626"/>
      <c r="G114" s="626"/>
      <c r="H114" s="626"/>
      <c r="I114" s="626"/>
      <c r="J114" s="626"/>
      <c r="K114" s="626"/>
      <c r="L114" s="627"/>
      <c r="M114" s="2"/>
      <c r="O114" s="2"/>
      <c r="P114" s="2"/>
    </row>
    <row r="115" spans="2:16" x14ac:dyDescent="0.35">
      <c r="B115" s="719"/>
      <c r="C115" s="731"/>
      <c r="D115" s="626"/>
      <c r="E115" s="626"/>
      <c r="F115" s="626"/>
      <c r="G115" s="626"/>
      <c r="H115" s="626"/>
      <c r="I115" s="626"/>
      <c r="J115" s="626"/>
      <c r="K115" s="626"/>
      <c r="L115" s="627"/>
      <c r="M115" s="2"/>
      <c r="O115" s="2"/>
      <c r="P115" s="2"/>
    </row>
    <row r="116" spans="2:16" x14ac:dyDescent="0.35">
      <c r="B116" s="719"/>
      <c r="C116" s="731"/>
      <c r="D116" s="626"/>
      <c r="E116" s="626"/>
      <c r="F116" s="626"/>
      <c r="G116" s="626"/>
      <c r="H116" s="626"/>
      <c r="I116" s="626"/>
      <c r="J116" s="626"/>
      <c r="K116" s="626"/>
      <c r="L116" s="627"/>
      <c r="M116" s="2"/>
      <c r="O116" s="2"/>
      <c r="P116" s="2"/>
    </row>
    <row r="117" spans="2:16" x14ac:dyDescent="0.35">
      <c r="B117" s="719"/>
      <c r="C117" s="731"/>
      <c r="D117" s="626"/>
      <c r="E117" s="626"/>
      <c r="F117" s="626"/>
      <c r="G117" s="626"/>
      <c r="H117" s="626"/>
      <c r="I117" s="626"/>
      <c r="J117" s="626"/>
      <c r="K117" s="626"/>
      <c r="L117" s="627"/>
      <c r="M117" s="2"/>
      <c r="O117" s="2"/>
      <c r="P117" s="2"/>
    </row>
    <row r="118" spans="2:16" x14ac:dyDescent="0.35">
      <c r="B118" s="719"/>
      <c r="C118" s="731"/>
      <c r="D118" s="626"/>
      <c r="E118" s="626"/>
      <c r="F118" s="626"/>
      <c r="G118" s="626"/>
      <c r="H118" s="626"/>
      <c r="I118" s="626"/>
      <c r="J118" s="626"/>
      <c r="K118" s="626"/>
      <c r="L118" s="627"/>
      <c r="M118" s="2"/>
      <c r="O118" s="2"/>
      <c r="P118" s="2"/>
    </row>
    <row r="119" spans="2:16" x14ac:dyDescent="0.35">
      <c r="B119" s="719"/>
      <c r="C119" s="731"/>
      <c r="D119" s="626"/>
      <c r="E119" s="626"/>
      <c r="F119" s="626"/>
      <c r="G119" s="626"/>
      <c r="H119" s="626"/>
      <c r="I119" s="626"/>
      <c r="J119" s="626"/>
      <c r="K119" s="626"/>
      <c r="L119" s="627"/>
      <c r="M119" s="2"/>
      <c r="O119" s="2"/>
      <c r="P119" s="2"/>
    </row>
    <row r="120" spans="2:16" x14ac:dyDescent="0.35">
      <c r="B120" s="719"/>
      <c r="C120" s="731"/>
      <c r="D120" s="626"/>
      <c r="E120" s="626"/>
      <c r="F120" s="626"/>
      <c r="G120" s="626"/>
      <c r="H120" s="626"/>
      <c r="I120" s="626"/>
      <c r="J120" s="626"/>
      <c r="K120" s="626"/>
      <c r="L120" s="627"/>
      <c r="M120" s="2"/>
      <c r="O120" s="2"/>
      <c r="P120" s="2"/>
    </row>
    <row r="121" spans="2:16" x14ac:dyDescent="0.35">
      <c r="B121" s="719"/>
      <c r="C121" s="731"/>
      <c r="D121" s="626"/>
      <c r="E121" s="626"/>
      <c r="F121" s="626"/>
      <c r="G121" s="626"/>
      <c r="H121" s="626"/>
      <c r="I121" s="626"/>
      <c r="J121" s="626"/>
      <c r="K121" s="626"/>
      <c r="L121" s="627"/>
      <c r="M121" s="2"/>
      <c r="O121" s="2"/>
      <c r="P121" s="2"/>
    </row>
    <row r="122" spans="2:16" x14ac:dyDescent="0.35">
      <c r="B122" s="719"/>
      <c r="C122" s="731"/>
      <c r="D122" s="626"/>
      <c r="E122" s="626"/>
      <c r="F122" s="626"/>
      <c r="G122" s="626"/>
      <c r="H122" s="626"/>
      <c r="I122" s="626"/>
      <c r="J122" s="626"/>
      <c r="K122" s="626"/>
      <c r="L122" s="627"/>
      <c r="M122" s="2"/>
      <c r="O122" s="2"/>
      <c r="P122" s="2"/>
    </row>
    <row r="123" spans="2:16" x14ac:dyDescent="0.35">
      <c r="B123" s="719"/>
      <c r="C123" s="731"/>
      <c r="D123" s="626"/>
      <c r="E123" s="626"/>
      <c r="F123" s="626"/>
      <c r="G123" s="626"/>
      <c r="H123" s="626"/>
      <c r="I123" s="626"/>
      <c r="J123" s="626"/>
      <c r="K123" s="626"/>
      <c r="L123" s="627"/>
      <c r="M123" s="2"/>
      <c r="O123" s="2"/>
      <c r="P123" s="2"/>
    </row>
    <row r="124" spans="2:16" x14ac:dyDescent="0.35">
      <c r="B124" s="719">
        <v>3</v>
      </c>
      <c r="C124" s="731"/>
      <c r="D124" s="626"/>
      <c r="E124" s="626"/>
      <c r="F124" s="626"/>
      <c r="G124" s="626"/>
      <c r="H124" s="626"/>
      <c r="I124" s="626"/>
      <c r="J124" s="626"/>
      <c r="K124" s="626"/>
      <c r="L124" s="627"/>
      <c r="M124" s="2"/>
      <c r="O124" s="2"/>
      <c r="P124" s="2"/>
    </row>
    <row r="125" spans="2:16" x14ac:dyDescent="0.35">
      <c r="B125" s="719"/>
      <c r="C125" s="731"/>
      <c r="D125" s="626"/>
      <c r="E125" s="626"/>
      <c r="F125" s="626"/>
      <c r="G125" s="626"/>
      <c r="H125" s="626"/>
      <c r="I125" s="626"/>
      <c r="J125" s="626"/>
      <c r="K125" s="626"/>
      <c r="L125" s="627"/>
      <c r="M125" s="2"/>
      <c r="O125" s="2"/>
      <c r="P125" s="2"/>
    </row>
    <row r="126" spans="2:16" x14ac:dyDescent="0.35">
      <c r="B126" s="719"/>
      <c r="C126" s="731"/>
      <c r="D126" s="626"/>
      <c r="E126" s="626"/>
      <c r="F126" s="626"/>
      <c r="G126" s="626"/>
      <c r="H126" s="626"/>
      <c r="I126" s="626"/>
      <c r="J126" s="626"/>
      <c r="K126" s="626"/>
      <c r="L126" s="627"/>
      <c r="M126" s="2"/>
      <c r="O126" s="2"/>
      <c r="P126" s="2"/>
    </row>
    <row r="127" spans="2:16" x14ac:dyDescent="0.35">
      <c r="B127" s="719"/>
      <c r="C127" s="731"/>
      <c r="D127" s="626"/>
      <c r="E127" s="626"/>
      <c r="F127" s="626"/>
      <c r="G127" s="626"/>
      <c r="H127" s="626"/>
      <c r="I127" s="626"/>
      <c r="J127" s="626"/>
      <c r="K127" s="626"/>
      <c r="L127" s="627"/>
      <c r="M127" s="2"/>
      <c r="O127" s="2"/>
      <c r="P127" s="2"/>
    </row>
    <row r="128" spans="2:16" x14ac:dyDescent="0.35">
      <c r="B128" s="719"/>
      <c r="C128" s="731"/>
      <c r="D128" s="626"/>
      <c r="E128" s="626"/>
      <c r="F128" s="626"/>
      <c r="G128" s="626"/>
      <c r="H128" s="626"/>
      <c r="I128" s="626"/>
      <c r="J128" s="626"/>
      <c r="K128" s="626"/>
      <c r="L128" s="627"/>
      <c r="M128" s="2"/>
      <c r="O128" s="2"/>
      <c r="P128" s="2"/>
    </row>
    <row r="129" spans="2:16" x14ac:dyDescent="0.35">
      <c r="B129" s="719"/>
      <c r="C129" s="731"/>
      <c r="D129" s="626"/>
      <c r="E129" s="626"/>
      <c r="F129" s="626"/>
      <c r="G129" s="626"/>
      <c r="H129" s="626"/>
      <c r="I129" s="626"/>
      <c r="J129" s="626"/>
      <c r="K129" s="626"/>
      <c r="L129" s="627"/>
      <c r="M129" s="2"/>
      <c r="O129" s="2"/>
      <c r="P129" s="2"/>
    </row>
    <row r="130" spans="2:16" x14ac:dyDescent="0.35">
      <c r="B130" s="719"/>
      <c r="C130" s="731"/>
      <c r="D130" s="626"/>
      <c r="E130" s="626"/>
      <c r="F130" s="626"/>
      <c r="G130" s="626"/>
      <c r="H130" s="626"/>
      <c r="I130" s="626"/>
      <c r="J130" s="626"/>
      <c r="K130" s="626"/>
      <c r="L130" s="627"/>
      <c r="M130" s="2"/>
      <c r="O130" s="2"/>
      <c r="P130" s="2"/>
    </row>
    <row r="131" spans="2:16" x14ac:dyDescent="0.35">
      <c r="B131" s="719"/>
      <c r="C131" s="731"/>
      <c r="D131" s="626"/>
      <c r="E131" s="626"/>
      <c r="F131" s="626"/>
      <c r="G131" s="626"/>
      <c r="H131" s="626"/>
      <c r="I131" s="626"/>
      <c r="J131" s="626"/>
      <c r="K131" s="626"/>
      <c r="L131" s="627"/>
      <c r="M131" s="2"/>
      <c r="O131" s="2"/>
      <c r="P131" s="2"/>
    </row>
    <row r="132" spans="2:16" x14ac:dyDescent="0.35">
      <c r="B132" s="719"/>
      <c r="C132" s="731"/>
      <c r="D132" s="626"/>
      <c r="E132" s="626"/>
      <c r="F132" s="626"/>
      <c r="G132" s="626"/>
      <c r="H132" s="626"/>
      <c r="I132" s="626"/>
      <c r="J132" s="626"/>
      <c r="K132" s="626"/>
      <c r="L132" s="627"/>
      <c r="M132" s="2"/>
      <c r="O132" s="2"/>
      <c r="P132" s="2"/>
    </row>
    <row r="133" spans="2:16" x14ac:dyDescent="0.35">
      <c r="B133" s="719"/>
      <c r="C133" s="731"/>
      <c r="D133" s="626"/>
      <c r="E133" s="626"/>
      <c r="F133" s="626"/>
      <c r="G133" s="626"/>
      <c r="H133" s="626"/>
      <c r="I133" s="626"/>
      <c r="J133" s="626"/>
      <c r="K133" s="626"/>
      <c r="L133" s="627"/>
      <c r="M133" s="2"/>
      <c r="O133" s="2"/>
      <c r="P133" s="2"/>
    </row>
    <row r="134" spans="2:16" x14ac:dyDescent="0.35">
      <c r="B134" s="719">
        <v>4</v>
      </c>
      <c r="C134" s="731"/>
      <c r="D134" s="626"/>
      <c r="E134" s="626"/>
      <c r="F134" s="626"/>
      <c r="G134" s="626"/>
      <c r="H134" s="626"/>
      <c r="I134" s="626"/>
      <c r="J134" s="626"/>
      <c r="K134" s="626"/>
      <c r="L134" s="627"/>
      <c r="M134" s="2"/>
      <c r="O134" s="2"/>
      <c r="P134" s="2"/>
    </row>
    <row r="135" spans="2:16" x14ac:dyDescent="0.35">
      <c r="B135" s="719"/>
      <c r="C135" s="731"/>
      <c r="D135" s="626"/>
      <c r="E135" s="626"/>
      <c r="F135" s="626"/>
      <c r="G135" s="626"/>
      <c r="H135" s="626"/>
      <c r="I135" s="626"/>
      <c r="J135" s="626"/>
      <c r="K135" s="626"/>
      <c r="L135" s="627"/>
      <c r="M135" s="2"/>
      <c r="O135" s="2"/>
      <c r="P135" s="2"/>
    </row>
    <row r="136" spans="2:16" x14ac:dyDescent="0.35">
      <c r="B136" s="719"/>
      <c r="C136" s="731"/>
      <c r="D136" s="626"/>
      <c r="E136" s="626"/>
      <c r="F136" s="626"/>
      <c r="G136" s="626"/>
      <c r="H136" s="626"/>
      <c r="I136" s="626"/>
      <c r="J136" s="626"/>
      <c r="K136" s="626"/>
      <c r="L136" s="627"/>
      <c r="M136" s="2"/>
      <c r="O136" s="2"/>
      <c r="P136" s="2"/>
    </row>
    <row r="137" spans="2:16" x14ac:dyDescent="0.35">
      <c r="B137" s="719"/>
      <c r="C137" s="731"/>
      <c r="D137" s="626"/>
      <c r="E137" s="626"/>
      <c r="F137" s="626"/>
      <c r="G137" s="626"/>
      <c r="H137" s="626"/>
      <c r="I137" s="626"/>
      <c r="J137" s="626"/>
      <c r="K137" s="626"/>
      <c r="L137" s="627"/>
      <c r="M137" s="2"/>
      <c r="O137" s="2"/>
      <c r="P137" s="2"/>
    </row>
    <row r="138" spans="2:16" x14ac:dyDescent="0.35">
      <c r="B138" s="719"/>
      <c r="C138" s="731"/>
      <c r="D138" s="626"/>
      <c r="E138" s="626"/>
      <c r="F138" s="626"/>
      <c r="G138" s="626"/>
      <c r="H138" s="626"/>
      <c r="I138" s="626"/>
      <c r="J138" s="626"/>
      <c r="K138" s="626"/>
      <c r="L138" s="627"/>
      <c r="M138" s="2"/>
      <c r="O138" s="2"/>
      <c r="P138" s="2"/>
    </row>
    <row r="139" spans="2:16" x14ac:dyDescent="0.35">
      <c r="B139" s="719"/>
      <c r="C139" s="731"/>
      <c r="D139" s="626"/>
      <c r="E139" s="626"/>
      <c r="F139" s="626"/>
      <c r="G139" s="626"/>
      <c r="H139" s="626"/>
      <c r="I139" s="626"/>
      <c r="J139" s="626"/>
      <c r="K139" s="626"/>
      <c r="L139" s="627"/>
      <c r="M139" s="2"/>
      <c r="O139" s="2"/>
      <c r="P139" s="2"/>
    </row>
    <row r="140" spans="2:16" x14ac:dyDescent="0.35">
      <c r="B140" s="719"/>
      <c r="C140" s="731"/>
      <c r="D140" s="626"/>
      <c r="E140" s="626"/>
      <c r="F140" s="626"/>
      <c r="G140" s="626"/>
      <c r="H140" s="626"/>
      <c r="I140" s="626"/>
      <c r="J140" s="626"/>
      <c r="K140" s="626"/>
      <c r="L140" s="627"/>
      <c r="M140" s="2"/>
      <c r="O140" s="2"/>
      <c r="P140" s="2"/>
    </row>
    <row r="141" spans="2:16" x14ac:dyDescent="0.35">
      <c r="B141" s="719"/>
      <c r="C141" s="731"/>
      <c r="D141" s="626"/>
      <c r="E141" s="626"/>
      <c r="F141" s="626"/>
      <c r="G141" s="626"/>
      <c r="H141" s="626"/>
      <c r="I141" s="626"/>
      <c r="J141" s="626"/>
      <c r="K141" s="626"/>
      <c r="L141" s="627"/>
      <c r="M141" s="2"/>
      <c r="O141" s="2"/>
      <c r="P141" s="2"/>
    </row>
    <row r="142" spans="2:16" x14ac:dyDescent="0.35">
      <c r="B142" s="719"/>
      <c r="C142" s="731"/>
      <c r="D142" s="626"/>
      <c r="E142" s="626"/>
      <c r="F142" s="626"/>
      <c r="G142" s="626"/>
      <c r="H142" s="626"/>
      <c r="I142" s="626"/>
      <c r="J142" s="626"/>
      <c r="K142" s="626"/>
      <c r="L142" s="627"/>
      <c r="M142" s="2"/>
      <c r="O142" s="2"/>
      <c r="P142" s="2"/>
    </row>
    <row r="143" spans="2:16" x14ac:dyDescent="0.35">
      <c r="B143" s="719"/>
      <c r="C143" s="731"/>
      <c r="D143" s="626"/>
      <c r="E143" s="626"/>
      <c r="F143" s="626"/>
      <c r="G143" s="626"/>
      <c r="H143" s="626"/>
      <c r="I143" s="626"/>
      <c r="J143" s="626"/>
      <c r="K143" s="626"/>
      <c r="L143" s="627"/>
      <c r="M143" s="2"/>
      <c r="O143" s="2"/>
      <c r="P143" s="2"/>
    </row>
    <row r="144" spans="2:16" x14ac:dyDescent="0.35">
      <c r="B144" s="719">
        <v>5</v>
      </c>
      <c r="C144" s="731"/>
      <c r="D144" s="626"/>
      <c r="E144" s="626"/>
      <c r="F144" s="626"/>
      <c r="G144" s="626"/>
      <c r="H144" s="626"/>
      <c r="I144" s="626"/>
      <c r="J144" s="626"/>
      <c r="K144" s="626"/>
      <c r="L144" s="627"/>
      <c r="M144" s="2"/>
      <c r="O144" s="2"/>
      <c r="P144" s="2"/>
    </row>
    <row r="145" spans="1:16" x14ac:dyDescent="0.35">
      <c r="B145" s="719"/>
      <c r="C145" s="731"/>
      <c r="D145" s="626"/>
      <c r="E145" s="626"/>
      <c r="F145" s="626"/>
      <c r="G145" s="626"/>
      <c r="H145" s="626"/>
      <c r="I145" s="626"/>
      <c r="J145" s="626"/>
      <c r="K145" s="626"/>
      <c r="L145" s="627"/>
      <c r="M145" s="2"/>
      <c r="O145" s="2"/>
      <c r="P145" s="2"/>
    </row>
    <row r="146" spans="1:16" x14ac:dyDescent="0.35">
      <c r="B146" s="719"/>
      <c r="C146" s="731"/>
      <c r="D146" s="626"/>
      <c r="E146" s="626"/>
      <c r="F146" s="626"/>
      <c r="G146" s="626"/>
      <c r="H146" s="626"/>
      <c r="I146" s="626"/>
      <c r="J146" s="626"/>
      <c r="K146" s="626"/>
      <c r="L146" s="627"/>
      <c r="M146" s="2"/>
      <c r="O146" s="2"/>
      <c r="P146" s="2"/>
    </row>
    <row r="147" spans="1:16" x14ac:dyDescent="0.35">
      <c r="B147" s="719"/>
      <c r="C147" s="731"/>
      <c r="D147" s="626"/>
      <c r="E147" s="626"/>
      <c r="F147" s="626"/>
      <c r="G147" s="626"/>
      <c r="H147" s="626"/>
      <c r="I147" s="626"/>
      <c r="J147" s="626"/>
      <c r="K147" s="626"/>
      <c r="L147" s="627"/>
      <c r="M147" s="2"/>
      <c r="O147" s="2"/>
      <c r="P147" s="2"/>
    </row>
    <row r="148" spans="1:16" x14ac:dyDescent="0.35">
      <c r="B148" s="719"/>
      <c r="C148" s="731"/>
      <c r="D148" s="626"/>
      <c r="E148" s="626"/>
      <c r="F148" s="626"/>
      <c r="G148" s="626"/>
      <c r="H148" s="626"/>
      <c r="I148" s="626"/>
      <c r="J148" s="626"/>
      <c r="K148" s="626"/>
      <c r="L148" s="627"/>
      <c r="M148" s="2"/>
      <c r="O148" s="2"/>
      <c r="P148" s="2"/>
    </row>
    <row r="149" spans="1:16" x14ac:dyDescent="0.35">
      <c r="B149" s="719"/>
      <c r="C149" s="731"/>
      <c r="D149" s="626"/>
      <c r="E149" s="626"/>
      <c r="F149" s="626"/>
      <c r="G149" s="626"/>
      <c r="H149" s="626"/>
      <c r="I149" s="626"/>
      <c r="J149" s="626"/>
      <c r="K149" s="626"/>
      <c r="L149" s="627"/>
      <c r="M149" s="2"/>
      <c r="O149" s="2"/>
      <c r="P149" s="2"/>
    </row>
    <row r="150" spans="1:16" x14ac:dyDescent="0.35">
      <c r="B150" s="719"/>
      <c r="C150" s="731"/>
      <c r="D150" s="626"/>
      <c r="E150" s="626"/>
      <c r="F150" s="626"/>
      <c r="G150" s="626"/>
      <c r="H150" s="626"/>
      <c r="I150" s="626"/>
      <c r="J150" s="626"/>
      <c r="K150" s="626"/>
      <c r="L150" s="627"/>
      <c r="M150" s="2"/>
      <c r="O150" s="2"/>
      <c r="P150" s="2"/>
    </row>
    <row r="151" spans="1:16" x14ac:dyDescent="0.35">
      <c r="B151" s="719"/>
      <c r="C151" s="731"/>
      <c r="D151" s="626"/>
      <c r="E151" s="626"/>
      <c r="F151" s="626"/>
      <c r="G151" s="626"/>
      <c r="H151" s="626"/>
      <c r="I151" s="626"/>
      <c r="J151" s="626"/>
      <c r="K151" s="626"/>
      <c r="L151" s="627"/>
      <c r="M151" s="2"/>
      <c r="O151" s="2"/>
      <c r="P151" s="2"/>
    </row>
    <row r="152" spans="1:16" x14ac:dyDescent="0.35">
      <c r="B152" s="719"/>
      <c r="C152" s="731"/>
      <c r="D152" s="626"/>
      <c r="E152" s="626"/>
      <c r="F152" s="626"/>
      <c r="G152" s="626"/>
      <c r="H152" s="626"/>
      <c r="I152" s="626"/>
      <c r="J152" s="626"/>
      <c r="K152" s="626"/>
      <c r="L152" s="627"/>
      <c r="M152" s="2"/>
      <c r="O152" s="2"/>
      <c r="P152" s="2"/>
    </row>
    <row r="153" spans="1:16" x14ac:dyDescent="0.35">
      <c r="B153" s="719"/>
      <c r="C153" s="731"/>
      <c r="D153" s="626"/>
      <c r="E153" s="626"/>
      <c r="F153" s="626"/>
      <c r="G153" s="626"/>
      <c r="H153" s="626"/>
      <c r="I153" s="626"/>
      <c r="J153" s="626"/>
      <c r="K153" s="626"/>
      <c r="L153" s="627"/>
      <c r="M153" s="2"/>
      <c r="O153" s="2"/>
      <c r="P153" s="2"/>
    </row>
    <row r="154" spans="1:16" s="152" customFormat="1" x14ac:dyDescent="0.35">
      <c r="A154" s="172"/>
      <c r="B154" s="186"/>
      <c r="C154" s="187"/>
      <c r="D154" s="187"/>
      <c r="E154" s="187"/>
      <c r="F154" s="187"/>
      <c r="G154" s="187"/>
      <c r="H154" s="187"/>
      <c r="I154" s="187"/>
      <c r="J154" s="187"/>
      <c r="K154" s="187"/>
      <c r="L154" s="185"/>
      <c r="O154" s="9"/>
      <c r="P154" s="9"/>
    </row>
    <row r="155" spans="1:16" s="3" customFormat="1" x14ac:dyDescent="0.35">
      <c r="A155" s="12"/>
      <c r="B155" s="710" t="s">
        <v>31</v>
      </c>
      <c r="C155" s="711"/>
      <c r="D155" s="711"/>
      <c r="E155" s="711"/>
      <c r="F155" s="711"/>
      <c r="G155" s="711"/>
      <c r="H155" s="711"/>
      <c r="I155" s="711"/>
      <c r="J155" s="711"/>
      <c r="K155" s="711"/>
      <c r="L155" s="712"/>
      <c r="M155" s="167"/>
      <c r="O155" s="154"/>
      <c r="P155" s="154"/>
    </row>
    <row r="156" spans="1:16" s="152" customFormat="1" x14ac:dyDescent="0.35">
      <c r="A156" s="172"/>
      <c r="B156" s="184"/>
      <c r="C156" s="173"/>
      <c r="D156" s="173"/>
      <c r="E156" s="173"/>
      <c r="F156" s="173"/>
      <c r="G156" s="173"/>
      <c r="H156" s="173"/>
      <c r="I156" s="173"/>
      <c r="J156" s="173"/>
      <c r="K156" s="173"/>
      <c r="L156" s="174"/>
      <c r="O156" s="9"/>
      <c r="P156" s="9"/>
    </row>
    <row r="157" spans="1:16" s="152" customFormat="1" x14ac:dyDescent="0.35">
      <c r="A157" s="172"/>
      <c r="B157" s="707" t="str">
        <f>IF(Intro!$G$21="English",O157,P157)</f>
        <v>Décrivez les processus de production de votre entreprise pour les marchandises et fournissez des organigrammes illustrant les processus.</v>
      </c>
      <c r="C157" s="708"/>
      <c r="D157" s="708"/>
      <c r="E157" s="708"/>
      <c r="F157" s="708"/>
      <c r="G157" s="708"/>
      <c r="H157" s="708"/>
      <c r="I157" s="708"/>
      <c r="J157" s="708"/>
      <c r="K157" s="708"/>
      <c r="L157" s="709"/>
      <c r="O157" s="9" t="s">
        <v>331</v>
      </c>
      <c r="P157" s="9" t="s">
        <v>332</v>
      </c>
    </row>
    <row r="158" spans="1:16" s="152" customFormat="1" x14ac:dyDescent="0.35">
      <c r="A158" s="172"/>
      <c r="B158" s="184"/>
      <c r="C158" s="173"/>
      <c r="D158" s="173"/>
      <c r="E158" s="173"/>
      <c r="F158" s="173"/>
      <c r="G158" s="173"/>
      <c r="H158" s="173"/>
      <c r="I158" s="173"/>
      <c r="J158" s="173"/>
      <c r="K158" s="173"/>
      <c r="L158" s="174"/>
      <c r="O158" s="9"/>
      <c r="P158" s="9"/>
    </row>
    <row r="159" spans="1:16" s="3" customFormat="1" x14ac:dyDescent="0.35">
      <c r="A159" s="12"/>
      <c r="B159" s="704"/>
      <c r="C159" s="705"/>
      <c r="D159" s="705"/>
      <c r="E159" s="705"/>
      <c r="F159" s="705"/>
      <c r="G159" s="705"/>
      <c r="H159" s="705"/>
      <c r="I159" s="705"/>
      <c r="J159" s="705"/>
      <c r="K159" s="705"/>
      <c r="L159" s="706"/>
      <c r="M159" s="152"/>
      <c r="O159" s="154"/>
      <c r="P159" s="154"/>
    </row>
    <row r="160" spans="1:16" s="3" customFormat="1" x14ac:dyDescent="0.35">
      <c r="A160" s="12"/>
      <c r="B160" s="704"/>
      <c r="C160" s="705"/>
      <c r="D160" s="705"/>
      <c r="E160" s="705"/>
      <c r="F160" s="705"/>
      <c r="G160" s="705"/>
      <c r="H160" s="705"/>
      <c r="I160" s="705"/>
      <c r="J160" s="705"/>
      <c r="K160" s="705"/>
      <c r="L160" s="706"/>
      <c r="M160" s="152"/>
      <c r="O160" s="154"/>
      <c r="P160" s="154"/>
    </row>
    <row r="161" spans="1:16" s="3" customFormat="1" x14ac:dyDescent="0.35">
      <c r="A161" s="12"/>
      <c r="B161" s="704"/>
      <c r="C161" s="705"/>
      <c r="D161" s="705"/>
      <c r="E161" s="705"/>
      <c r="F161" s="705"/>
      <c r="G161" s="705"/>
      <c r="H161" s="705"/>
      <c r="I161" s="705"/>
      <c r="J161" s="705"/>
      <c r="K161" s="705"/>
      <c r="L161" s="706"/>
      <c r="M161" s="152"/>
      <c r="O161" s="154"/>
      <c r="P161" s="154"/>
    </row>
    <row r="162" spans="1:16" s="3" customFormat="1" x14ac:dyDescent="0.35">
      <c r="A162" s="12"/>
      <c r="B162" s="704"/>
      <c r="C162" s="705"/>
      <c r="D162" s="705"/>
      <c r="E162" s="705"/>
      <c r="F162" s="705"/>
      <c r="G162" s="705"/>
      <c r="H162" s="705"/>
      <c r="I162" s="705"/>
      <c r="J162" s="705"/>
      <c r="K162" s="705"/>
      <c r="L162" s="706"/>
      <c r="M162" s="152"/>
      <c r="O162" s="154"/>
      <c r="P162" s="154"/>
    </row>
    <row r="163" spans="1:16" s="3" customFormat="1" x14ac:dyDescent="0.35">
      <c r="A163" s="12"/>
      <c r="B163" s="704"/>
      <c r="C163" s="705"/>
      <c r="D163" s="705"/>
      <c r="E163" s="705"/>
      <c r="F163" s="705"/>
      <c r="G163" s="705"/>
      <c r="H163" s="705"/>
      <c r="I163" s="705"/>
      <c r="J163" s="705"/>
      <c r="K163" s="705"/>
      <c r="L163" s="706"/>
      <c r="M163" s="152"/>
      <c r="O163" s="154"/>
      <c r="P163" s="154"/>
    </row>
    <row r="164" spans="1:16" s="3" customFormat="1" x14ac:dyDescent="0.35">
      <c r="A164" s="12"/>
      <c r="B164" s="704"/>
      <c r="C164" s="705"/>
      <c r="D164" s="705"/>
      <c r="E164" s="705"/>
      <c r="F164" s="705"/>
      <c r="G164" s="705"/>
      <c r="H164" s="705"/>
      <c r="I164" s="705"/>
      <c r="J164" s="705"/>
      <c r="K164" s="705"/>
      <c r="L164" s="706"/>
      <c r="M164" s="152"/>
      <c r="O164" s="154"/>
      <c r="P164" s="154"/>
    </row>
    <row r="165" spans="1:16" s="3" customFormat="1" x14ac:dyDescent="0.35">
      <c r="A165" s="12"/>
      <c r="B165" s="704"/>
      <c r="C165" s="705"/>
      <c r="D165" s="705"/>
      <c r="E165" s="705"/>
      <c r="F165" s="705"/>
      <c r="G165" s="705"/>
      <c r="H165" s="705"/>
      <c r="I165" s="705"/>
      <c r="J165" s="705"/>
      <c r="K165" s="705"/>
      <c r="L165" s="706"/>
      <c r="M165" s="152"/>
      <c r="O165" s="154"/>
      <c r="P165" s="154"/>
    </row>
    <row r="166" spans="1:16" s="3" customFormat="1" x14ac:dyDescent="0.35">
      <c r="A166" s="12"/>
      <c r="B166" s="704"/>
      <c r="C166" s="705"/>
      <c r="D166" s="705"/>
      <c r="E166" s="705"/>
      <c r="F166" s="705"/>
      <c r="G166" s="705"/>
      <c r="H166" s="705"/>
      <c r="I166" s="705"/>
      <c r="J166" s="705"/>
      <c r="K166" s="705"/>
      <c r="L166" s="706"/>
      <c r="M166" s="152"/>
      <c r="O166" s="154"/>
      <c r="P166" s="154"/>
    </row>
    <row r="167" spans="1:16" s="152" customFormat="1" x14ac:dyDescent="0.35">
      <c r="A167" s="172"/>
      <c r="B167" s="186"/>
      <c r="C167" s="187"/>
      <c r="D167" s="187"/>
      <c r="E167" s="187"/>
      <c r="F167" s="187"/>
      <c r="G167" s="187"/>
      <c r="H167" s="187"/>
      <c r="I167" s="187"/>
      <c r="J167" s="187"/>
      <c r="K167" s="187"/>
      <c r="L167" s="185"/>
      <c r="O167" s="9"/>
      <c r="P167" s="9"/>
    </row>
    <row r="168" spans="1:16" s="3" customFormat="1" x14ac:dyDescent="0.35">
      <c r="A168" s="12"/>
      <c r="B168" s="710" t="s">
        <v>33</v>
      </c>
      <c r="C168" s="711"/>
      <c r="D168" s="711"/>
      <c r="E168" s="711"/>
      <c r="F168" s="711"/>
      <c r="G168" s="711"/>
      <c r="H168" s="711"/>
      <c r="I168" s="711"/>
      <c r="J168" s="711"/>
      <c r="K168" s="711"/>
      <c r="L168" s="712"/>
      <c r="M168" s="167"/>
    </row>
    <row r="169" spans="1:16" x14ac:dyDescent="0.35">
      <c r="B169" s="169"/>
      <c r="C169" s="170"/>
      <c r="D169" s="170"/>
      <c r="E169" s="170"/>
      <c r="F169" s="170"/>
      <c r="G169" s="170"/>
      <c r="H169" s="170"/>
      <c r="I169" s="170"/>
      <c r="J169" s="170"/>
      <c r="K169" s="170"/>
      <c r="L169" s="171"/>
      <c r="M169" s="2"/>
      <c r="O169" s="2"/>
      <c r="P169" s="2"/>
    </row>
    <row r="170" spans="1:16" x14ac:dyDescent="0.35">
      <c r="B170" s="602" t="str">
        <f>IF(Intro!$G$21="English",O170,P170)</f>
        <v>Énumérez les trois principales matières directes utilisées dans la production des marchandises par votre entreprise, en fonction de leur valeur.</v>
      </c>
      <c r="C170" s="603"/>
      <c r="D170" s="603"/>
      <c r="E170" s="603"/>
      <c r="F170" s="603"/>
      <c r="G170" s="603"/>
      <c r="H170" s="603"/>
      <c r="I170" s="603"/>
      <c r="J170" s="603"/>
      <c r="K170" s="603"/>
      <c r="L170" s="604"/>
      <c r="M170" s="2"/>
      <c r="O170" s="11" t="s">
        <v>205</v>
      </c>
      <c r="P170" s="2" t="s">
        <v>206</v>
      </c>
    </row>
    <row r="171" spans="1:16" x14ac:dyDescent="0.35">
      <c r="B171" s="159"/>
      <c r="C171" s="160"/>
      <c r="D171" s="25"/>
      <c r="E171" s="26"/>
      <c r="F171" s="26"/>
      <c r="G171" s="26"/>
      <c r="H171" s="26"/>
      <c r="I171" s="26"/>
      <c r="J171" s="26"/>
      <c r="K171" s="26"/>
      <c r="L171" s="27"/>
      <c r="M171" s="2"/>
      <c r="O171" s="11"/>
      <c r="P171" s="2"/>
    </row>
    <row r="172" spans="1:16" x14ac:dyDescent="0.35">
      <c r="B172" s="732" t="str">
        <f>IF(Intro!$G$21="English",O172,P172)</f>
        <v>La matière directe utilisée 1</v>
      </c>
      <c r="C172" s="733"/>
      <c r="D172" s="716"/>
      <c r="E172" s="717"/>
      <c r="F172" s="717"/>
      <c r="G172" s="717"/>
      <c r="H172" s="717"/>
      <c r="I172" s="717"/>
      <c r="J172" s="717"/>
      <c r="K172" s="717"/>
      <c r="L172" s="718"/>
      <c r="M172" s="2"/>
      <c r="O172" s="11" t="s">
        <v>207</v>
      </c>
      <c r="P172" s="2" t="s">
        <v>208</v>
      </c>
    </row>
    <row r="173" spans="1:16" x14ac:dyDescent="0.35">
      <c r="B173" s="732" t="str">
        <f>IF(Intro!$G$21="English",O173,P173)</f>
        <v>La matière directe utilisée 2</v>
      </c>
      <c r="C173" s="733"/>
      <c r="D173" s="716"/>
      <c r="E173" s="717"/>
      <c r="F173" s="717"/>
      <c r="G173" s="717"/>
      <c r="H173" s="717"/>
      <c r="I173" s="717"/>
      <c r="J173" s="717"/>
      <c r="K173" s="717"/>
      <c r="L173" s="718"/>
      <c r="M173" s="2"/>
      <c r="O173" s="11" t="s">
        <v>209</v>
      </c>
      <c r="P173" s="2" t="s">
        <v>210</v>
      </c>
    </row>
    <row r="174" spans="1:16" x14ac:dyDescent="0.35">
      <c r="B174" s="732" t="str">
        <f>IF(Intro!$G$21="English",O174,P174)</f>
        <v>La matière directe utilisée 3</v>
      </c>
      <c r="C174" s="733"/>
      <c r="D174" s="716"/>
      <c r="E174" s="717"/>
      <c r="F174" s="717"/>
      <c r="G174" s="717"/>
      <c r="H174" s="717"/>
      <c r="I174" s="717"/>
      <c r="J174" s="717"/>
      <c r="K174" s="717"/>
      <c r="L174" s="718"/>
      <c r="M174" s="2"/>
      <c r="O174" s="11" t="s">
        <v>211</v>
      </c>
      <c r="P174" s="2" t="s">
        <v>212</v>
      </c>
    </row>
    <row r="175" spans="1:16" x14ac:dyDescent="0.35">
      <c r="B175" s="159"/>
      <c r="C175" s="160"/>
      <c r="D175" s="25"/>
      <c r="E175" s="26"/>
      <c r="F175" s="26"/>
      <c r="G175" s="26"/>
      <c r="H175" s="26"/>
      <c r="I175" s="26"/>
      <c r="J175" s="26"/>
      <c r="K175" s="26"/>
      <c r="L175" s="27"/>
      <c r="M175" s="2"/>
      <c r="O175" s="11"/>
      <c r="P175" s="2"/>
    </row>
    <row r="176" spans="1:16" s="3" customFormat="1" x14ac:dyDescent="0.35">
      <c r="A176" s="12"/>
      <c r="B176" s="710" t="s">
        <v>34</v>
      </c>
      <c r="C176" s="711"/>
      <c r="D176" s="711"/>
      <c r="E176" s="711"/>
      <c r="F176" s="711"/>
      <c r="G176" s="711"/>
      <c r="H176" s="711"/>
      <c r="I176" s="711"/>
      <c r="J176" s="711"/>
      <c r="K176" s="711"/>
      <c r="L176" s="712"/>
      <c r="M176" s="167"/>
      <c r="O176" s="154"/>
      <c r="P176" s="154"/>
    </row>
    <row r="177" spans="1:16" s="152" customFormat="1" x14ac:dyDescent="0.35">
      <c r="A177" s="172"/>
      <c r="B177" s="184"/>
      <c r="C177" s="173"/>
      <c r="D177" s="173"/>
      <c r="E177" s="173"/>
      <c r="F177" s="173"/>
      <c r="G177" s="173"/>
      <c r="H177" s="173"/>
      <c r="I177" s="173"/>
      <c r="J177" s="173"/>
      <c r="K177" s="173"/>
      <c r="L177" s="174"/>
      <c r="O177" s="9"/>
      <c r="P177" s="9"/>
    </row>
    <row r="178" spans="1:16" s="152" customFormat="1" x14ac:dyDescent="0.35">
      <c r="A178" s="172"/>
      <c r="B178" s="707" t="str">
        <f>IF(Intro!$G$21="English",O178,P178)</f>
        <v>Quelles publications ou indices votre entreprise utilise-t-elle pour suivre les prix des matières directes utilisées dans la production des marchandises?</v>
      </c>
      <c r="C178" s="708"/>
      <c r="D178" s="708"/>
      <c r="E178" s="708"/>
      <c r="F178" s="708"/>
      <c r="G178" s="708"/>
      <c r="H178" s="708"/>
      <c r="I178" s="708"/>
      <c r="J178" s="708"/>
      <c r="K178" s="708"/>
      <c r="L178" s="709"/>
      <c r="O178" s="9" t="s">
        <v>403</v>
      </c>
      <c r="P178" s="9" t="s">
        <v>404</v>
      </c>
    </row>
    <row r="179" spans="1:16" s="152" customFormat="1" x14ac:dyDescent="0.35">
      <c r="A179" s="172"/>
      <c r="B179" s="184"/>
      <c r="C179" s="173"/>
      <c r="D179" s="173"/>
      <c r="E179" s="173"/>
      <c r="F179" s="173"/>
      <c r="G179" s="173"/>
      <c r="H179" s="173"/>
      <c r="I179" s="173"/>
      <c r="J179" s="173"/>
      <c r="K179" s="173"/>
      <c r="L179" s="174"/>
      <c r="O179" s="9"/>
      <c r="P179" s="9"/>
    </row>
    <row r="180" spans="1:16" s="3" customFormat="1" x14ac:dyDescent="0.35">
      <c r="A180" s="12"/>
      <c r="B180" s="704"/>
      <c r="C180" s="705"/>
      <c r="D180" s="705"/>
      <c r="E180" s="705"/>
      <c r="F180" s="705"/>
      <c r="G180" s="705"/>
      <c r="H180" s="705"/>
      <c r="I180" s="705"/>
      <c r="J180" s="705"/>
      <c r="K180" s="705"/>
      <c r="L180" s="706"/>
      <c r="M180" s="152"/>
      <c r="O180" s="154"/>
      <c r="P180" s="154"/>
    </row>
    <row r="181" spans="1:16" s="3" customFormat="1" x14ac:dyDescent="0.35">
      <c r="A181" s="12"/>
      <c r="B181" s="704"/>
      <c r="C181" s="705"/>
      <c r="D181" s="705"/>
      <c r="E181" s="705"/>
      <c r="F181" s="705"/>
      <c r="G181" s="705"/>
      <c r="H181" s="705"/>
      <c r="I181" s="705"/>
      <c r="J181" s="705"/>
      <c r="K181" s="705"/>
      <c r="L181" s="706"/>
      <c r="M181" s="152"/>
      <c r="O181" s="154"/>
      <c r="P181" s="154"/>
    </row>
    <row r="182" spans="1:16" s="3" customFormat="1" x14ac:dyDescent="0.35">
      <c r="A182" s="12"/>
      <c r="B182" s="704"/>
      <c r="C182" s="705"/>
      <c r="D182" s="705"/>
      <c r="E182" s="705"/>
      <c r="F182" s="705"/>
      <c r="G182" s="705"/>
      <c r="H182" s="705"/>
      <c r="I182" s="705"/>
      <c r="J182" s="705"/>
      <c r="K182" s="705"/>
      <c r="L182" s="706"/>
      <c r="M182" s="152"/>
      <c r="O182" s="154"/>
      <c r="P182" s="154"/>
    </row>
    <row r="183" spans="1:16" s="3" customFormat="1" x14ac:dyDescent="0.35">
      <c r="A183" s="12"/>
      <c r="B183" s="704"/>
      <c r="C183" s="705"/>
      <c r="D183" s="705"/>
      <c r="E183" s="705"/>
      <c r="F183" s="705"/>
      <c r="G183" s="705"/>
      <c r="H183" s="705"/>
      <c r="I183" s="705"/>
      <c r="J183" s="705"/>
      <c r="K183" s="705"/>
      <c r="L183" s="706"/>
      <c r="M183" s="152"/>
      <c r="O183" s="154"/>
      <c r="P183" s="154"/>
    </row>
    <row r="184" spans="1:16" s="3" customFormat="1" x14ac:dyDescent="0.35">
      <c r="A184" s="12"/>
      <c r="B184" s="704"/>
      <c r="C184" s="705"/>
      <c r="D184" s="705"/>
      <c r="E184" s="705"/>
      <c r="F184" s="705"/>
      <c r="G184" s="705"/>
      <c r="H184" s="705"/>
      <c r="I184" s="705"/>
      <c r="J184" s="705"/>
      <c r="K184" s="705"/>
      <c r="L184" s="706"/>
      <c r="M184" s="152"/>
      <c r="O184" s="154"/>
      <c r="P184" s="154"/>
    </row>
    <row r="185" spans="1:16" s="3" customFormat="1" x14ac:dyDescent="0.35">
      <c r="A185" s="12"/>
      <c r="B185" s="704"/>
      <c r="C185" s="705"/>
      <c r="D185" s="705"/>
      <c r="E185" s="705"/>
      <c r="F185" s="705"/>
      <c r="G185" s="705"/>
      <c r="H185" s="705"/>
      <c r="I185" s="705"/>
      <c r="J185" s="705"/>
      <c r="K185" s="705"/>
      <c r="L185" s="706"/>
      <c r="M185" s="152"/>
      <c r="O185" s="154"/>
      <c r="P185" s="154"/>
    </row>
    <row r="186" spans="1:16" s="3" customFormat="1" x14ac:dyDescent="0.35">
      <c r="A186" s="12"/>
      <c r="B186" s="704"/>
      <c r="C186" s="705"/>
      <c r="D186" s="705"/>
      <c r="E186" s="705"/>
      <c r="F186" s="705"/>
      <c r="G186" s="705"/>
      <c r="H186" s="705"/>
      <c r="I186" s="705"/>
      <c r="J186" s="705"/>
      <c r="K186" s="705"/>
      <c r="L186" s="706"/>
      <c r="M186" s="152"/>
      <c r="O186" s="154"/>
      <c r="P186" s="154"/>
    </row>
    <row r="187" spans="1:16" s="3" customFormat="1" x14ac:dyDescent="0.35">
      <c r="A187" s="12"/>
      <c r="B187" s="704"/>
      <c r="C187" s="705"/>
      <c r="D187" s="705"/>
      <c r="E187" s="705"/>
      <c r="F187" s="705"/>
      <c r="G187" s="705"/>
      <c r="H187" s="705"/>
      <c r="I187" s="705"/>
      <c r="J187" s="705"/>
      <c r="K187" s="705"/>
      <c r="L187" s="706"/>
      <c r="M187" s="152"/>
      <c r="O187" s="154"/>
      <c r="P187" s="154"/>
    </row>
    <row r="188" spans="1:16" s="152" customFormat="1" x14ac:dyDescent="0.35">
      <c r="A188" s="172"/>
      <c r="B188" s="186"/>
      <c r="C188" s="187"/>
      <c r="D188" s="187"/>
      <c r="E188" s="187"/>
      <c r="F188" s="187"/>
      <c r="G188" s="187"/>
      <c r="H188" s="187"/>
      <c r="I188" s="187"/>
      <c r="J188" s="187"/>
      <c r="K188" s="187"/>
      <c r="L188" s="185"/>
      <c r="O188" s="9"/>
      <c r="P188" s="9"/>
    </row>
    <row r="189" spans="1:16" s="3" customFormat="1" x14ac:dyDescent="0.35">
      <c r="A189" s="12"/>
      <c r="B189" s="710" t="s">
        <v>35</v>
      </c>
      <c r="C189" s="711"/>
      <c r="D189" s="711"/>
      <c r="E189" s="711"/>
      <c r="F189" s="711"/>
      <c r="G189" s="711"/>
      <c r="H189" s="711"/>
      <c r="I189" s="711"/>
      <c r="J189" s="711"/>
      <c r="K189" s="711"/>
      <c r="L189" s="712"/>
      <c r="M189" s="167"/>
      <c r="O189" s="154"/>
      <c r="P189" s="154"/>
    </row>
    <row r="190" spans="1:16" s="152" customFormat="1" x14ac:dyDescent="0.35">
      <c r="A190" s="172"/>
      <c r="B190" s="184"/>
      <c r="C190" s="173"/>
      <c r="D190" s="173"/>
      <c r="E190" s="173"/>
      <c r="F190" s="173"/>
      <c r="G190" s="173"/>
      <c r="H190" s="173"/>
      <c r="I190" s="173"/>
      <c r="J190" s="173"/>
      <c r="K190" s="173"/>
      <c r="L190" s="174"/>
      <c r="O190" s="9"/>
      <c r="P190" s="9"/>
    </row>
    <row r="191" spans="1:16" s="152" customFormat="1" x14ac:dyDescent="0.35">
      <c r="A191" s="172"/>
      <c r="B191" s="707" t="str">
        <f>IF(Intro!$G$21="English",O191,P191)</f>
        <v>Fournissez des détails si votre entreprise a modifié la gamme de marchandises qu'elle produit depuis le 1er janvier 2023.</v>
      </c>
      <c r="C191" s="708"/>
      <c r="D191" s="708"/>
      <c r="E191" s="708"/>
      <c r="F191" s="708"/>
      <c r="G191" s="708"/>
      <c r="H191" s="708"/>
      <c r="I191" s="708"/>
      <c r="J191" s="708"/>
      <c r="K191" s="708"/>
      <c r="L191" s="709"/>
      <c r="O191" s="9" t="str">
        <f>"Provide details if your firm has changed the product mix of the goods produced since January 1, "&amp;Variables!B6&amp;"."</f>
        <v>Provide details if your firm has changed the product mix of the goods produced since January 1, 2023.</v>
      </c>
      <c r="P191" s="9" t="str">
        <f>"Fournissez des détails si votre entreprise a modifié la gamme de marchandises qu'elle produit depuis le 1er janvier "&amp;Variables!B6&amp;"."</f>
        <v>Fournissez des détails si votre entreprise a modifié la gamme de marchandises qu'elle produit depuis le 1er janvier 2023.</v>
      </c>
    </row>
    <row r="192" spans="1:16" s="152" customFormat="1" x14ac:dyDescent="0.35">
      <c r="A192" s="172"/>
      <c r="B192" s="184"/>
      <c r="C192" s="173"/>
      <c r="D192" s="173"/>
      <c r="E192" s="173"/>
      <c r="F192" s="173"/>
      <c r="G192" s="173"/>
      <c r="H192" s="173"/>
      <c r="I192" s="173"/>
      <c r="J192" s="173"/>
      <c r="K192" s="173"/>
      <c r="L192" s="174"/>
      <c r="O192" s="9"/>
      <c r="P192" s="9"/>
    </row>
    <row r="193" spans="1:16" s="3" customFormat="1" x14ac:dyDescent="0.35">
      <c r="A193" s="12"/>
      <c r="B193" s="704"/>
      <c r="C193" s="705"/>
      <c r="D193" s="705"/>
      <c r="E193" s="705"/>
      <c r="F193" s="705"/>
      <c r="G193" s="705"/>
      <c r="H193" s="705"/>
      <c r="I193" s="705"/>
      <c r="J193" s="705"/>
      <c r="K193" s="705"/>
      <c r="L193" s="706"/>
      <c r="M193" s="152"/>
      <c r="O193" s="154"/>
      <c r="P193" s="154"/>
    </row>
    <row r="194" spans="1:16" s="3" customFormat="1" x14ac:dyDescent="0.35">
      <c r="A194" s="12"/>
      <c r="B194" s="704"/>
      <c r="C194" s="705"/>
      <c r="D194" s="705"/>
      <c r="E194" s="705"/>
      <c r="F194" s="705"/>
      <c r="G194" s="705"/>
      <c r="H194" s="705"/>
      <c r="I194" s="705"/>
      <c r="J194" s="705"/>
      <c r="K194" s="705"/>
      <c r="L194" s="706"/>
      <c r="M194" s="152"/>
      <c r="O194" s="154"/>
      <c r="P194" s="154"/>
    </row>
    <row r="195" spans="1:16" s="3" customFormat="1" x14ac:dyDescent="0.35">
      <c r="A195" s="12"/>
      <c r="B195" s="704"/>
      <c r="C195" s="705"/>
      <c r="D195" s="705"/>
      <c r="E195" s="705"/>
      <c r="F195" s="705"/>
      <c r="G195" s="705"/>
      <c r="H195" s="705"/>
      <c r="I195" s="705"/>
      <c r="J195" s="705"/>
      <c r="K195" s="705"/>
      <c r="L195" s="706"/>
      <c r="M195" s="152"/>
      <c r="O195" s="154"/>
      <c r="P195" s="154"/>
    </row>
    <row r="196" spans="1:16" s="3" customFormat="1" x14ac:dyDescent="0.35">
      <c r="A196" s="12"/>
      <c r="B196" s="704"/>
      <c r="C196" s="705"/>
      <c r="D196" s="705"/>
      <c r="E196" s="705"/>
      <c r="F196" s="705"/>
      <c r="G196" s="705"/>
      <c r="H196" s="705"/>
      <c r="I196" s="705"/>
      <c r="J196" s="705"/>
      <c r="K196" s="705"/>
      <c r="L196" s="706"/>
      <c r="M196" s="152"/>
      <c r="O196" s="154"/>
      <c r="P196" s="154"/>
    </row>
    <row r="197" spans="1:16" s="3" customFormat="1" x14ac:dyDescent="0.35">
      <c r="A197" s="12"/>
      <c r="B197" s="704"/>
      <c r="C197" s="705"/>
      <c r="D197" s="705"/>
      <c r="E197" s="705"/>
      <c r="F197" s="705"/>
      <c r="G197" s="705"/>
      <c r="H197" s="705"/>
      <c r="I197" s="705"/>
      <c r="J197" s="705"/>
      <c r="K197" s="705"/>
      <c r="L197" s="706"/>
      <c r="M197" s="152"/>
      <c r="O197" s="154"/>
      <c r="P197" s="154"/>
    </row>
    <row r="198" spans="1:16" s="3" customFormat="1" x14ac:dyDescent="0.35">
      <c r="A198" s="12"/>
      <c r="B198" s="704"/>
      <c r="C198" s="705"/>
      <c r="D198" s="705"/>
      <c r="E198" s="705"/>
      <c r="F198" s="705"/>
      <c r="G198" s="705"/>
      <c r="H198" s="705"/>
      <c r="I198" s="705"/>
      <c r="J198" s="705"/>
      <c r="K198" s="705"/>
      <c r="L198" s="706"/>
      <c r="M198" s="152"/>
      <c r="O198" s="154"/>
      <c r="P198" s="154"/>
    </row>
    <row r="199" spans="1:16" s="3" customFormat="1" x14ac:dyDescent="0.35">
      <c r="A199" s="12"/>
      <c r="B199" s="704"/>
      <c r="C199" s="705"/>
      <c r="D199" s="705"/>
      <c r="E199" s="705"/>
      <c r="F199" s="705"/>
      <c r="G199" s="705"/>
      <c r="H199" s="705"/>
      <c r="I199" s="705"/>
      <c r="J199" s="705"/>
      <c r="K199" s="705"/>
      <c r="L199" s="706"/>
      <c r="M199" s="152"/>
      <c r="O199" s="154"/>
      <c r="P199" s="154"/>
    </row>
    <row r="200" spans="1:16" s="3" customFormat="1" x14ac:dyDescent="0.35">
      <c r="A200" s="12"/>
      <c r="B200" s="704"/>
      <c r="C200" s="705"/>
      <c r="D200" s="705"/>
      <c r="E200" s="705"/>
      <c r="F200" s="705"/>
      <c r="G200" s="705"/>
      <c r="H200" s="705"/>
      <c r="I200" s="705"/>
      <c r="J200" s="705"/>
      <c r="K200" s="705"/>
      <c r="L200" s="706"/>
      <c r="M200" s="152"/>
      <c r="O200" s="154"/>
      <c r="P200" s="154"/>
    </row>
    <row r="201" spans="1:16" s="152" customFormat="1" x14ac:dyDescent="0.35">
      <c r="A201" s="172"/>
      <c r="B201" s="186"/>
      <c r="C201" s="187"/>
      <c r="D201" s="187"/>
      <c r="E201" s="187"/>
      <c r="F201" s="187"/>
      <c r="G201" s="187"/>
      <c r="H201" s="187"/>
      <c r="I201" s="187"/>
      <c r="J201" s="187"/>
      <c r="K201" s="187"/>
      <c r="L201" s="185"/>
      <c r="O201" s="9"/>
      <c r="P201" s="9"/>
    </row>
    <row r="202" spans="1:16" x14ac:dyDescent="0.35">
      <c r="B202" s="37"/>
      <c r="L202" s="38"/>
    </row>
    <row r="203" spans="1:16" x14ac:dyDescent="0.35">
      <c r="B203" s="599" t="str">
        <f>IF(Intro!$G$21="English",O203,P203)</f>
        <v>CARACTÉRISTIQUES DU MARCHÉ DES MARCHANDISES</v>
      </c>
      <c r="C203" s="600"/>
      <c r="D203" s="600"/>
      <c r="E203" s="600"/>
      <c r="F203" s="600"/>
      <c r="G203" s="600"/>
      <c r="H203" s="600"/>
      <c r="I203" s="600"/>
      <c r="J203" s="600"/>
      <c r="K203" s="600"/>
      <c r="L203" s="601"/>
      <c r="M203" s="152"/>
      <c r="O203" s="198" t="s">
        <v>639</v>
      </c>
      <c r="P203" s="198" t="s">
        <v>640</v>
      </c>
    </row>
    <row r="204" spans="1:16" s="3" customFormat="1" x14ac:dyDescent="0.35">
      <c r="A204" s="12"/>
      <c r="B204" s="710" t="s">
        <v>36</v>
      </c>
      <c r="C204" s="711"/>
      <c r="D204" s="711"/>
      <c r="E204" s="711"/>
      <c r="F204" s="711"/>
      <c r="G204" s="711"/>
      <c r="H204" s="711"/>
      <c r="I204" s="711"/>
      <c r="J204" s="711"/>
      <c r="K204" s="711"/>
      <c r="L204" s="712"/>
      <c r="M204" s="167"/>
      <c r="O204" s="154"/>
      <c r="P204" s="154"/>
    </row>
    <row r="205" spans="1:16" s="152" customFormat="1" x14ac:dyDescent="0.35">
      <c r="A205" s="172"/>
      <c r="B205" s="184"/>
      <c r="C205" s="173"/>
      <c r="D205" s="173"/>
      <c r="E205" s="173"/>
      <c r="F205" s="173"/>
      <c r="G205" s="173"/>
      <c r="H205" s="173"/>
      <c r="I205" s="173"/>
      <c r="J205" s="173"/>
      <c r="K205" s="173"/>
      <c r="L205" s="174"/>
      <c r="O205" s="9"/>
      <c r="P205" s="9"/>
    </row>
    <row r="206" spans="1:16" s="152" customFormat="1" x14ac:dyDescent="0.35">
      <c r="A206" s="172"/>
      <c r="B206" s="707" t="str">
        <f>IF(Intro!$G$21="English",O206,P206)</f>
        <v>Indiquez dans quels segments de marché ces marchandises sont vendues.</v>
      </c>
      <c r="C206" s="708"/>
      <c r="D206" s="708"/>
      <c r="E206" s="708"/>
      <c r="F206" s="708"/>
      <c r="G206" s="708"/>
      <c r="H206" s="708"/>
      <c r="I206" s="708"/>
      <c r="J206" s="708"/>
      <c r="K206" s="708"/>
      <c r="L206" s="709"/>
      <c r="O206" s="9" t="s">
        <v>348</v>
      </c>
      <c r="P206" s="9" t="s">
        <v>695</v>
      </c>
    </row>
    <row r="207" spans="1:16" s="152" customFormat="1" x14ac:dyDescent="0.35">
      <c r="A207" s="172"/>
      <c r="B207" s="184"/>
      <c r="C207" s="173"/>
      <c r="D207" s="173"/>
      <c r="E207" s="173"/>
      <c r="F207" s="173"/>
      <c r="G207" s="173"/>
      <c r="H207" s="173"/>
      <c r="I207" s="173"/>
      <c r="J207" s="173"/>
      <c r="K207" s="173"/>
      <c r="L207" s="174"/>
      <c r="O207" s="9"/>
      <c r="P207" s="9"/>
    </row>
    <row r="208" spans="1:16" x14ac:dyDescent="0.35">
      <c r="B208" s="628" t="str">
        <f>IF(Intro!$G$21="English",O208,P208)</f>
        <v>Segment de marché 1</v>
      </c>
      <c r="C208" s="629"/>
      <c r="D208" s="629"/>
      <c r="E208" s="626"/>
      <c r="F208" s="626"/>
      <c r="G208" s="626"/>
      <c r="H208" s="626"/>
      <c r="I208" s="626"/>
      <c r="J208" s="626"/>
      <c r="K208" s="626"/>
      <c r="L208" s="627"/>
      <c r="M208" s="2"/>
      <c r="O208" s="9" t="s">
        <v>349</v>
      </c>
      <c r="P208" s="9" t="s">
        <v>350</v>
      </c>
    </row>
    <row r="209" spans="1:16" x14ac:dyDescent="0.35">
      <c r="B209" s="628"/>
      <c r="C209" s="629"/>
      <c r="D209" s="629"/>
      <c r="E209" s="626"/>
      <c r="F209" s="626"/>
      <c r="G209" s="626"/>
      <c r="H209" s="626"/>
      <c r="I209" s="626"/>
      <c r="J209" s="626"/>
      <c r="K209" s="626"/>
      <c r="L209" s="627"/>
      <c r="M209" s="2"/>
    </row>
    <row r="210" spans="1:16" x14ac:dyDescent="0.35">
      <c r="B210" s="628"/>
      <c r="C210" s="629"/>
      <c r="D210" s="629"/>
      <c r="E210" s="626"/>
      <c r="F210" s="626"/>
      <c r="G210" s="626"/>
      <c r="H210" s="626"/>
      <c r="I210" s="626"/>
      <c r="J210" s="626"/>
      <c r="K210" s="626"/>
      <c r="L210" s="627"/>
      <c r="M210" s="2"/>
    </row>
    <row r="211" spans="1:16" x14ac:dyDescent="0.35">
      <c r="B211" s="628"/>
      <c r="C211" s="629"/>
      <c r="D211" s="629"/>
      <c r="E211" s="626"/>
      <c r="F211" s="626"/>
      <c r="G211" s="626"/>
      <c r="H211" s="626"/>
      <c r="I211" s="626"/>
      <c r="J211" s="626"/>
      <c r="K211" s="626"/>
      <c r="L211" s="627"/>
      <c r="M211" s="2"/>
    </row>
    <row r="212" spans="1:16" x14ac:dyDescent="0.35">
      <c r="B212" s="628"/>
      <c r="C212" s="629"/>
      <c r="D212" s="629"/>
      <c r="E212" s="626"/>
      <c r="F212" s="626"/>
      <c r="G212" s="626"/>
      <c r="H212" s="626"/>
      <c r="I212" s="626"/>
      <c r="J212" s="626"/>
      <c r="K212" s="626"/>
      <c r="L212" s="627"/>
      <c r="M212" s="2"/>
    </row>
    <row r="213" spans="1:16" x14ac:dyDescent="0.35">
      <c r="B213" s="628" t="str">
        <f>IF(Intro!$G$21="English",O213,P213)</f>
        <v>Segment de marché 2</v>
      </c>
      <c r="C213" s="629"/>
      <c r="D213" s="629"/>
      <c r="E213" s="626"/>
      <c r="F213" s="626"/>
      <c r="G213" s="626"/>
      <c r="H213" s="626"/>
      <c r="I213" s="626"/>
      <c r="J213" s="626"/>
      <c r="K213" s="626"/>
      <c r="L213" s="627"/>
      <c r="M213" s="2"/>
      <c r="O213" s="9" t="s">
        <v>351</v>
      </c>
      <c r="P213" s="9" t="s">
        <v>352</v>
      </c>
    </row>
    <row r="214" spans="1:16" x14ac:dyDescent="0.35">
      <c r="B214" s="628"/>
      <c r="C214" s="629"/>
      <c r="D214" s="629"/>
      <c r="E214" s="626"/>
      <c r="F214" s="626"/>
      <c r="G214" s="626"/>
      <c r="H214" s="626"/>
      <c r="I214" s="626"/>
      <c r="J214" s="626"/>
      <c r="K214" s="626"/>
      <c r="L214" s="627"/>
      <c r="M214" s="2"/>
    </row>
    <row r="215" spans="1:16" x14ac:dyDescent="0.35">
      <c r="B215" s="628"/>
      <c r="C215" s="629"/>
      <c r="D215" s="629"/>
      <c r="E215" s="626"/>
      <c r="F215" s="626"/>
      <c r="G215" s="626"/>
      <c r="H215" s="626"/>
      <c r="I215" s="626"/>
      <c r="J215" s="626"/>
      <c r="K215" s="626"/>
      <c r="L215" s="627"/>
      <c r="M215" s="2"/>
    </row>
    <row r="216" spans="1:16" x14ac:dyDescent="0.35">
      <c r="B216" s="628"/>
      <c r="C216" s="629"/>
      <c r="D216" s="629"/>
      <c r="E216" s="626"/>
      <c r="F216" s="626"/>
      <c r="G216" s="626"/>
      <c r="H216" s="626"/>
      <c r="I216" s="626"/>
      <c r="J216" s="626"/>
      <c r="K216" s="626"/>
      <c r="L216" s="627"/>
      <c r="M216" s="2"/>
    </row>
    <row r="217" spans="1:16" x14ac:dyDescent="0.35">
      <c r="B217" s="628"/>
      <c r="C217" s="629"/>
      <c r="D217" s="629"/>
      <c r="E217" s="626"/>
      <c r="F217" s="626"/>
      <c r="G217" s="626"/>
      <c r="H217" s="626"/>
      <c r="I217" s="626"/>
      <c r="J217" s="626"/>
      <c r="K217" s="626"/>
      <c r="L217" s="627"/>
      <c r="M217" s="2"/>
      <c r="O217" s="2"/>
      <c r="P217" s="2"/>
    </row>
    <row r="218" spans="1:16" x14ac:dyDescent="0.35">
      <c r="B218" s="628" t="str">
        <f>IF(Intro!$G$21="English",O218,P218)</f>
        <v>Segment de marché 3</v>
      </c>
      <c r="C218" s="629"/>
      <c r="D218" s="629"/>
      <c r="E218" s="626"/>
      <c r="F218" s="626"/>
      <c r="G218" s="626"/>
      <c r="H218" s="626"/>
      <c r="I218" s="626"/>
      <c r="J218" s="626"/>
      <c r="K218" s="626"/>
      <c r="L218" s="627"/>
      <c r="M218" s="2"/>
      <c r="O218" s="9" t="s">
        <v>353</v>
      </c>
      <c r="P218" s="9" t="s">
        <v>354</v>
      </c>
    </row>
    <row r="219" spans="1:16" x14ac:dyDescent="0.35">
      <c r="B219" s="628"/>
      <c r="C219" s="629"/>
      <c r="D219" s="629"/>
      <c r="E219" s="626"/>
      <c r="F219" s="626"/>
      <c r="G219" s="626"/>
      <c r="H219" s="626"/>
      <c r="I219" s="626"/>
      <c r="J219" s="626"/>
      <c r="K219" s="626"/>
      <c r="L219" s="627"/>
      <c r="M219" s="2"/>
    </row>
    <row r="220" spans="1:16" x14ac:dyDescent="0.35">
      <c r="B220" s="628"/>
      <c r="C220" s="629"/>
      <c r="D220" s="629"/>
      <c r="E220" s="626"/>
      <c r="F220" s="626"/>
      <c r="G220" s="626"/>
      <c r="H220" s="626"/>
      <c r="I220" s="626"/>
      <c r="J220" s="626"/>
      <c r="K220" s="626"/>
      <c r="L220" s="627"/>
      <c r="M220" s="2"/>
    </row>
    <row r="221" spans="1:16" x14ac:dyDescent="0.35">
      <c r="B221" s="628"/>
      <c r="C221" s="629"/>
      <c r="D221" s="629"/>
      <c r="E221" s="626"/>
      <c r="F221" s="626"/>
      <c r="G221" s="626"/>
      <c r="H221" s="626"/>
      <c r="I221" s="626"/>
      <c r="J221" s="626"/>
      <c r="K221" s="626"/>
      <c r="L221" s="627"/>
      <c r="M221" s="2"/>
    </row>
    <row r="222" spans="1:16" x14ac:dyDescent="0.35">
      <c r="B222" s="628"/>
      <c r="C222" s="629"/>
      <c r="D222" s="629"/>
      <c r="E222" s="626"/>
      <c r="F222" s="626"/>
      <c r="G222" s="626"/>
      <c r="H222" s="626"/>
      <c r="I222" s="626"/>
      <c r="J222" s="626"/>
      <c r="K222" s="626"/>
      <c r="L222" s="627"/>
      <c r="M222" s="2"/>
    </row>
    <row r="223" spans="1:16" s="152" customFormat="1" x14ac:dyDescent="0.35">
      <c r="A223" s="172"/>
      <c r="B223" s="186"/>
      <c r="C223" s="187"/>
      <c r="D223" s="187"/>
      <c r="E223" s="187"/>
      <c r="F223" s="187"/>
      <c r="G223" s="187"/>
      <c r="H223" s="187"/>
      <c r="I223" s="187"/>
      <c r="J223" s="187"/>
      <c r="K223" s="187"/>
      <c r="L223" s="185"/>
      <c r="O223" s="9"/>
      <c r="P223" s="9"/>
    </row>
    <row r="224" spans="1:16" s="3" customFormat="1" x14ac:dyDescent="0.35">
      <c r="A224" s="12"/>
      <c r="B224" s="710" t="s">
        <v>37</v>
      </c>
      <c r="C224" s="711"/>
      <c r="D224" s="711"/>
      <c r="E224" s="711"/>
      <c r="F224" s="711"/>
      <c r="G224" s="711"/>
      <c r="H224" s="711"/>
      <c r="I224" s="711"/>
      <c r="J224" s="711"/>
      <c r="K224" s="711"/>
      <c r="L224" s="712"/>
      <c r="M224" s="167"/>
      <c r="O224" s="154"/>
      <c r="P224" s="154"/>
    </row>
    <row r="225" spans="1:16" s="152" customFormat="1" x14ac:dyDescent="0.35">
      <c r="A225" s="172"/>
      <c r="B225" s="184"/>
      <c r="C225" s="173"/>
      <c r="D225" s="173"/>
      <c r="E225" s="173"/>
      <c r="F225" s="173"/>
      <c r="G225" s="173"/>
      <c r="H225" s="173"/>
      <c r="I225" s="173"/>
      <c r="J225" s="173"/>
      <c r="K225" s="173"/>
      <c r="L225" s="174"/>
      <c r="O225" s="9"/>
      <c r="P225" s="9"/>
    </row>
    <row r="226" spans="1:16" s="152" customFormat="1" x14ac:dyDescent="0.35">
      <c r="A226" s="172"/>
      <c r="B226" s="602" t="str">
        <f>IF(Intro!$G$21="English",O226,P226)</f>
        <v>Décrivez s'il y a une saisonnalité sur le marché canadien pour les marchandises. Décrivez toute variation saisonnière de la production, du volume des stocks ou des ventes de la production de votre entreprise au Canada.</v>
      </c>
      <c r="C226" s="603"/>
      <c r="D226" s="603"/>
      <c r="E226" s="603"/>
      <c r="F226" s="603"/>
      <c r="G226" s="603"/>
      <c r="H226" s="603"/>
      <c r="I226" s="603"/>
      <c r="J226" s="603"/>
      <c r="K226" s="603"/>
      <c r="L226" s="604"/>
      <c r="O226" s="9" t="s">
        <v>381</v>
      </c>
      <c r="P226" s="9" t="s">
        <v>382</v>
      </c>
    </row>
    <row r="227" spans="1:16" s="152" customFormat="1" x14ac:dyDescent="0.35">
      <c r="A227" s="172"/>
      <c r="B227" s="602"/>
      <c r="C227" s="603"/>
      <c r="D227" s="603"/>
      <c r="E227" s="603"/>
      <c r="F227" s="603"/>
      <c r="G227" s="603"/>
      <c r="H227" s="603"/>
      <c r="I227" s="603"/>
      <c r="J227" s="603"/>
      <c r="K227" s="603"/>
      <c r="L227" s="604"/>
      <c r="O227" s="9"/>
      <c r="P227" s="9"/>
    </row>
    <row r="228" spans="1:16" s="152" customFormat="1" x14ac:dyDescent="0.35">
      <c r="A228" s="172"/>
      <c r="B228" s="184"/>
      <c r="C228" s="173"/>
      <c r="D228" s="173"/>
      <c r="E228" s="173"/>
      <c r="F228" s="173"/>
      <c r="G228" s="173"/>
      <c r="H228" s="173"/>
      <c r="I228" s="173"/>
      <c r="J228" s="173"/>
      <c r="K228" s="173"/>
      <c r="L228" s="174"/>
      <c r="O228" s="9"/>
      <c r="P228" s="9"/>
    </row>
    <row r="229" spans="1:16" s="3" customFormat="1" x14ac:dyDescent="0.35">
      <c r="A229" s="12"/>
      <c r="B229" s="704"/>
      <c r="C229" s="705"/>
      <c r="D229" s="705"/>
      <c r="E229" s="705"/>
      <c r="F229" s="705"/>
      <c r="G229" s="705"/>
      <c r="H229" s="705"/>
      <c r="I229" s="705"/>
      <c r="J229" s="705"/>
      <c r="K229" s="705"/>
      <c r="L229" s="706"/>
      <c r="M229" s="152"/>
      <c r="O229" s="154"/>
      <c r="P229" s="154"/>
    </row>
    <row r="230" spans="1:16" s="3" customFormat="1" x14ac:dyDescent="0.35">
      <c r="A230" s="12"/>
      <c r="B230" s="704"/>
      <c r="C230" s="705"/>
      <c r="D230" s="705"/>
      <c r="E230" s="705"/>
      <c r="F230" s="705"/>
      <c r="G230" s="705"/>
      <c r="H230" s="705"/>
      <c r="I230" s="705"/>
      <c r="J230" s="705"/>
      <c r="K230" s="705"/>
      <c r="L230" s="706"/>
      <c r="M230" s="152"/>
      <c r="O230" s="154"/>
      <c r="P230" s="154"/>
    </row>
    <row r="231" spans="1:16" s="3" customFormat="1" x14ac:dyDescent="0.35">
      <c r="A231" s="12"/>
      <c r="B231" s="704"/>
      <c r="C231" s="705"/>
      <c r="D231" s="705"/>
      <c r="E231" s="705"/>
      <c r="F231" s="705"/>
      <c r="G231" s="705"/>
      <c r="H231" s="705"/>
      <c r="I231" s="705"/>
      <c r="J231" s="705"/>
      <c r="K231" s="705"/>
      <c r="L231" s="706"/>
      <c r="M231" s="152"/>
      <c r="O231" s="154"/>
      <c r="P231" s="154"/>
    </row>
    <row r="232" spans="1:16" s="3" customFormat="1" x14ac:dyDescent="0.35">
      <c r="A232" s="12"/>
      <c r="B232" s="704"/>
      <c r="C232" s="705"/>
      <c r="D232" s="705"/>
      <c r="E232" s="705"/>
      <c r="F232" s="705"/>
      <c r="G232" s="705"/>
      <c r="H232" s="705"/>
      <c r="I232" s="705"/>
      <c r="J232" s="705"/>
      <c r="K232" s="705"/>
      <c r="L232" s="706"/>
      <c r="M232" s="152"/>
      <c r="O232" s="154"/>
      <c r="P232" s="154"/>
    </row>
    <row r="233" spans="1:16" s="3" customFormat="1" x14ac:dyDescent="0.35">
      <c r="A233" s="12"/>
      <c r="B233" s="704"/>
      <c r="C233" s="705"/>
      <c r="D233" s="705"/>
      <c r="E233" s="705"/>
      <c r="F233" s="705"/>
      <c r="G233" s="705"/>
      <c r="H233" s="705"/>
      <c r="I233" s="705"/>
      <c r="J233" s="705"/>
      <c r="K233" s="705"/>
      <c r="L233" s="706"/>
      <c r="M233" s="152"/>
      <c r="O233" s="154"/>
      <c r="P233" s="154"/>
    </row>
    <row r="234" spans="1:16" s="3" customFormat="1" x14ac:dyDescent="0.35">
      <c r="A234" s="12"/>
      <c r="B234" s="704"/>
      <c r="C234" s="705"/>
      <c r="D234" s="705"/>
      <c r="E234" s="705"/>
      <c r="F234" s="705"/>
      <c r="G234" s="705"/>
      <c r="H234" s="705"/>
      <c r="I234" s="705"/>
      <c r="J234" s="705"/>
      <c r="K234" s="705"/>
      <c r="L234" s="706"/>
      <c r="M234" s="152"/>
      <c r="O234" s="154"/>
      <c r="P234" s="154"/>
    </row>
    <row r="235" spans="1:16" s="3" customFormat="1" x14ac:dyDescent="0.35">
      <c r="A235" s="12"/>
      <c r="B235" s="704"/>
      <c r="C235" s="705"/>
      <c r="D235" s="705"/>
      <c r="E235" s="705"/>
      <c r="F235" s="705"/>
      <c r="G235" s="705"/>
      <c r="H235" s="705"/>
      <c r="I235" s="705"/>
      <c r="J235" s="705"/>
      <c r="K235" s="705"/>
      <c r="L235" s="706"/>
      <c r="M235" s="152"/>
      <c r="O235" s="154"/>
      <c r="P235" s="154"/>
    </row>
    <row r="236" spans="1:16" s="3" customFormat="1" x14ac:dyDescent="0.35">
      <c r="A236" s="12"/>
      <c r="B236" s="704"/>
      <c r="C236" s="705"/>
      <c r="D236" s="705"/>
      <c r="E236" s="705"/>
      <c r="F236" s="705"/>
      <c r="G236" s="705"/>
      <c r="H236" s="705"/>
      <c r="I236" s="705"/>
      <c r="J236" s="705"/>
      <c r="K236" s="705"/>
      <c r="L236" s="706"/>
      <c r="M236" s="152"/>
      <c r="O236" s="154"/>
      <c r="P236" s="154"/>
    </row>
    <row r="237" spans="1:16" s="152" customFormat="1" x14ac:dyDescent="0.35">
      <c r="A237" s="172"/>
      <c r="B237" s="186"/>
      <c r="C237" s="187"/>
      <c r="D237" s="187"/>
      <c r="E237" s="187"/>
      <c r="F237" s="187"/>
      <c r="G237" s="187"/>
      <c r="H237" s="187"/>
      <c r="I237" s="187"/>
      <c r="J237" s="187"/>
      <c r="K237" s="187"/>
      <c r="L237" s="185"/>
      <c r="O237" s="9"/>
      <c r="P237" s="9"/>
    </row>
    <row r="238" spans="1:16" s="3" customFormat="1" x14ac:dyDescent="0.35">
      <c r="A238" s="12"/>
      <c r="B238" s="710" t="s">
        <v>38</v>
      </c>
      <c r="C238" s="711"/>
      <c r="D238" s="711"/>
      <c r="E238" s="711"/>
      <c r="F238" s="711"/>
      <c r="G238" s="711"/>
      <c r="H238" s="711"/>
      <c r="I238" s="711"/>
      <c r="J238" s="711"/>
      <c r="K238" s="711"/>
      <c r="L238" s="712"/>
      <c r="M238" s="167"/>
      <c r="O238" s="154"/>
      <c r="P238" s="154"/>
    </row>
    <row r="239" spans="1:16" s="152" customFormat="1" x14ac:dyDescent="0.35">
      <c r="A239" s="172"/>
      <c r="B239" s="184"/>
      <c r="C239" s="173"/>
      <c r="D239" s="173"/>
      <c r="E239" s="173"/>
      <c r="F239" s="173"/>
      <c r="G239" s="173"/>
      <c r="H239" s="173"/>
      <c r="I239" s="173"/>
      <c r="J239" s="173"/>
      <c r="K239" s="173"/>
      <c r="L239" s="174"/>
      <c r="O239" s="9"/>
      <c r="P239" s="9"/>
    </row>
    <row r="240" spans="1:16" s="152" customFormat="1" x14ac:dyDescent="0.35">
      <c r="A240" s="172"/>
      <c r="B240" s="602" t="str">
        <f>IF(Intro!$G$21="English",O240,P240)</f>
        <v>Quels ont été les principaux facteurs affectant la demande des marchandises depuis le 1er janvier 2023 (par exemple, les préférences des utilisateurs, la politique gouvernementale, les conditions économiques, le taux de change)?</v>
      </c>
      <c r="C240" s="603"/>
      <c r="D240" s="603"/>
      <c r="E240" s="603"/>
      <c r="F240" s="603"/>
      <c r="G240" s="603"/>
      <c r="H240" s="603"/>
      <c r="I240" s="603"/>
      <c r="J240" s="603"/>
      <c r="K240" s="603"/>
      <c r="L240" s="604"/>
      <c r="O240"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240"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row>
    <row r="241" spans="1:16" s="152" customFormat="1" x14ac:dyDescent="0.35">
      <c r="A241" s="172"/>
      <c r="B241" s="602"/>
      <c r="C241" s="603"/>
      <c r="D241" s="603"/>
      <c r="E241" s="603"/>
      <c r="F241" s="603"/>
      <c r="G241" s="603"/>
      <c r="H241" s="603"/>
      <c r="I241" s="603"/>
      <c r="J241" s="603"/>
      <c r="K241" s="603"/>
      <c r="L241" s="604"/>
      <c r="O241" s="9"/>
      <c r="P241" s="9"/>
    </row>
    <row r="242" spans="1:16" s="152" customFormat="1" x14ac:dyDescent="0.35">
      <c r="A242" s="172"/>
      <c r="B242" s="184"/>
      <c r="C242" s="173"/>
      <c r="D242" s="173"/>
      <c r="E242" s="173"/>
      <c r="F242" s="173"/>
      <c r="G242" s="173"/>
      <c r="H242" s="173"/>
      <c r="I242" s="173"/>
      <c r="J242" s="173"/>
      <c r="K242" s="173"/>
      <c r="L242" s="174"/>
      <c r="O242" s="9"/>
      <c r="P242" s="9"/>
    </row>
    <row r="243" spans="1:16" s="3" customFormat="1" x14ac:dyDescent="0.35">
      <c r="A243" s="12"/>
      <c r="B243" s="704"/>
      <c r="C243" s="705"/>
      <c r="D243" s="705"/>
      <c r="E243" s="705"/>
      <c r="F243" s="705"/>
      <c r="G243" s="705"/>
      <c r="H243" s="705"/>
      <c r="I243" s="705"/>
      <c r="J243" s="705"/>
      <c r="K243" s="705"/>
      <c r="L243" s="706"/>
      <c r="M243" s="152"/>
      <c r="O243" s="154"/>
      <c r="P243" s="154"/>
    </row>
    <row r="244" spans="1:16" s="3" customFormat="1" x14ac:dyDescent="0.35">
      <c r="A244" s="12"/>
      <c r="B244" s="704"/>
      <c r="C244" s="705"/>
      <c r="D244" s="705"/>
      <c r="E244" s="705"/>
      <c r="F244" s="705"/>
      <c r="G244" s="705"/>
      <c r="H244" s="705"/>
      <c r="I244" s="705"/>
      <c r="J244" s="705"/>
      <c r="K244" s="705"/>
      <c r="L244" s="706"/>
      <c r="M244" s="152"/>
      <c r="O244" s="154"/>
      <c r="P244" s="154"/>
    </row>
    <row r="245" spans="1:16" s="3" customFormat="1" x14ac:dyDescent="0.35">
      <c r="A245" s="12"/>
      <c r="B245" s="704"/>
      <c r="C245" s="705"/>
      <c r="D245" s="705"/>
      <c r="E245" s="705"/>
      <c r="F245" s="705"/>
      <c r="G245" s="705"/>
      <c r="H245" s="705"/>
      <c r="I245" s="705"/>
      <c r="J245" s="705"/>
      <c r="K245" s="705"/>
      <c r="L245" s="706"/>
      <c r="M245" s="152"/>
      <c r="O245" s="154"/>
      <c r="P245" s="154"/>
    </row>
    <row r="246" spans="1:16" s="3" customFormat="1" x14ac:dyDescent="0.35">
      <c r="A246" s="12"/>
      <c r="B246" s="704"/>
      <c r="C246" s="705"/>
      <c r="D246" s="705"/>
      <c r="E246" s="705"/>
      <c r="F246" s="705"/>
      <c r="G246" s="705"/>
      <c r="H246" s="705"/>
      <c r="I246" s="705"/>
      <c r="J246" s="705"/>
      <c r="K246" s="705"/>
      <c r="L246" s="706"/>
      <c r="M246" s="152"/>
      <c r="O246" s="154"/>
      <c r="P246" s="154"/>
    </row>
    <row r="247" spans="1:16" s="3" customFormat="1" x14ac:dyDescent="0.35">
      <c r="A247" s="12"/>
      <c r="B247" s="704"/>
      <c r="C247" s="705"/>
      <c r="D247" s="705"/>
      <c r="E247" s="705"/>
      <c r="F247" s="705"/>
      <c r="G247" s="705"/>
      <c r="H247" s="705"/>
      <c r="I247" s="705"/>
      <c r="J247" s="705"/>
      <c r="K247" s="705"/>
      <c r="L247" s="706"/>
      <c r="M247" s="152"/>
      <c r="O247" s="154"/>
      <c r="P247" s="154"/>
    </row>
    <row r="248" spans="1:16" s="3" customFormat="1" x14ac:dyDescent="0.35">
      <c r="A248" s="12"/>
      <c r="B248" s="704"/>
      <c r="C248" s="705"/>
      <c r="D248" s="705"/>
      <c r="E248" s="705"/>
      <c r="F248" s="705"/>
      <c r="G248" s="705"/>
      <c r="H248" s="705"/>
      <c r="I248" s="705"/>
      <c r="J248" s="705"/>
      <c r="K248" s="705"/>
      <c r="L248" s="706"/>
      <c r="M248" s="152"/>
      <c r="O248" s="154"/>
      <c r="P248" s="154"/>
    </row>
    <row r="249" spans="1:16" s="3" customFormat="1" x14ac:dyDescent="0.35">
      <c r="A249" s="12"/>
      <c r="B249" s="704"/>
      <c r="C249" s="705"/>
      <c r="D249" s="705"/>
      <c r="E249" s="705"/>
      <c r="F249" s="705"/>
      <c r="G249" s="705"/>
      <c r="H249" s="705"/>
      <c r="I249" s="705"/>
      <c r="J249" s="705"/>
      <c r="K249" s="705"/>
      <c r="L249" s="706"/>
      <c r="M249" s="152"/>
      <c r="O249" s="154"/>
      <c r="P249" s="154"/>
    </row>
    <row r="250" spans="1:16" s="3" customFormat="1" x14ac:dyDescent="0.35">
      <c r="A250" s="12"/>
      <c r="B250" s="704"/>
      <c r="C250" s="705"/>
      <c r="D250" s="705"/>
      <c r="E250" s="705"/>
      <c r="F250" s="705"/>
      <c r="G250" s="705"/>
      <c r="H250" s="705"/>
      <c r="I250" s="705"/>
      <c r="J250" s="705"/>
      <c r="K250" s="705"/>
      <c r="L250" s="706"/>
      <c r="M250" s="152"/>
      <c r="O250" s="154"/>
      <c r="P250" s="154"/>
    </row>
    <row r="251" spans="1:16" s="152" customFormat="1" x14ac:dyDescent="0.35">
      <c r="A251" s="172"/>
      <c r="B251" s="186"/>
      <c r="C251" s="187"/>
      <c r="D251" s="187"/>
      <c r="E251" s="187"/>
      <c r="F251" s="187"/>
      <c r="G251" s="187"/>
      <c r="H251" s="187"/>
      <c r="I251" s="187"/>
      <c r="J251" s="187"/>
      <c r="K251" s="187"/>
      <c r="L251" s="185"/>
      <c r="O251" s="9"/>
      <c r="P251" s="9"/>
    </row>
    <row r="252" spans="1:16" s="3" customFormat="1" x14ac:dyDescent="0.35">
      <c r="A252" s="12"/>
      <c r="B252" s="710" t="s">
        <v>39</v>
      </c>
      <c r="C252" s="711"/>
      <c r="D252" s="711"/>
      <c r="E252" s="711"/>
      <c r="F252" s="711"/>
      <c r="G252" s="711"/>
      <c r="H252" s="711"/>
      <c r="I252" s="711"/>
      <c r="J252" s="711"/>
      <c r="K252" s="711"/>
      <c r="L252" s="712"/>
      <c r="M252" s="167"/>
      <c r="O252" s="154"/>
      <c r="P252" s="154"/>
    </row>
    <row r="253" spans="1:16" s="152" customFormat="1" x14ac:dyDescent="0.35">
      <c r="A253" s="172"/>
      <c r="B253" s="184"/>
      <c r="C253" s="173"/>
      <c r="D253" s="173"/>
      <c r="E253" s="173"/>
      <c r="F253" s="173"/>
      <c r="G253" s="173"/>
      <c r="H253" s="173"/>
      <c r="I253" s="173"/>
      <c r="J253" s="173"/>
      <c r="K253" s="173"/>
      <c r="L253" s="174"/>
      <c r="O253" s="9"/>
      <c r="P253" s="9"/>
    </row>
    <row r="254" spans="1:16" s="152" customFormat="1" x14ac:dyDescent="0.35">
      <c r="A254" s="172"/>
      <c r="B254" s="707" t="str">
        <f>IF(Intro!$G$21="English",O254,P254)</f>
        <v>Décrivez tout changement technologique qui a eu une incidence sur le marché canadien des marchandises depuis le 1er janvier 2023.</v>
      </c>
      <c r="C254" s="708"/>
      <c r="D254" s="708"/>
      <c r="E254" s="708"/>
      <c r="F254" s="708"/>
      <c r="G254" s="708"/>
      <c r="H254" s="708"/>
      <c r="I254" s="708"/>
      <c r="J254" s="708"/>
      <c r="K254" s="708"/>
      <c r="L254" s="709"/>
      <c r="O254" s="9" t="str">
        <f>"Describe any changes in technology that have impacted the Canadian market for the goods since January 1, "&amp;Variables!B6&amp;"."</f>
        <v>Describe any changes in technology that have impacted the Canadian market for the goods since January 1, 2023.</v>
      </c>
      <c r="P254"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255" spans="1:16" s="152" customFormat="1" x14ac:dyDescent="0.35">
      <c r="A255" s="172"/>
      <c r="B255" s="184"/>
      <c r="C255" s="173"/>
      <c r="D255" s="173"/>
      <c r="E255" s="173"/>
      <c r="F255" s="173"/>
      <c r="G255" s="173"/>
      <c r="H255" s="173"/>
      <c r="I255" s="173"/>
      <c r="J255" s="173"/>
      <c r="K255" s="173"/>
      <c r="L255" s="174"/>
      <c r="O255" s="9"/>
      <c r="P255" s="9"/>
    </row>
    <row r="256" spans="1:16" s="3" customFormat="1" x14ac:dyDescent="0.35">
      <c r="A256" s="12"/>
      <c r="B256" s="704"/>
      <c r="C256" s="705"/>
      <c r="D256" s="705"/>
      <c r="E256" s="705"/>
      <c r="F256" s="705"/>
      <c r="G256" s="705"/>
      <c r="H256" s="705"/>
      <c r="I256" s="705"/>
      <c r="J256" s="705"/>
      <c r="K256" s="705"/>
      <c r="L256" s="706"/>
      <c r="M256" s="152"/>
      <c r="O256" s="154"/>
      <c r="P256" s="154"/>
    </row>
    <row r="257" spans="1:16" s="3" customFormat="1" x14ac:dyDescent="0.35">
      <c r="A257" s="12"/>
      <c r="B257" s="704"/>
      <c r="C257" s="705"/>
      <c r="D257" s="705"/>
      <c r="E257" s="705"/>
      <c r="F257" s="705"/>
      <c r="G257" s="705"/>
      <c r="H257" s="705"/>
      <c r="I257" s="705"/>
      <c r="J257" s="705"/>
      <c r="K257" s="705"/>
      <c r="L257" s="706"/>
      <c r="M257" s="152"/>
      <c r="O257" s="154"/>
      <c r="P257" s="154"/>
    </row>
    <row r="258" spans="1:16" s="3" customFormat="1" x14ac:dyDescent="0.35">
      <c r="A258" s="12"/>
      <c r="B258" s="704"/>
      <c r="C258" s="705"/>
      <c r="D258" s="705"/>
      <c r="E258" s="705"/>
      <c r="F258" s="705"/>
      <c r="G258" s="705"/>
      <c r="H258" s="705"/>
      <c r="I258" s="705"/>
      <c r="J258" s="705"/>
      <c r="K258" s="705"/>
      <c r="L258" s="706"/>
      <c r="M258" s="152"/>
      <c r="O258" s="154"/>
      <c r="P258" s="154"/>
    </row>
    <row r="259" spans="1:16" s="3" customFormat="1" x14ac:dyDescent="0.35">
      <c r="A259" s="12"/>
      <c r="B259" s="704"/>
      <c r="C259" s="705"/>
      <c r="D259" s="705"/>
      <c r="E259" s="705"/>
      <c r="F259" s="705"/>
      <c r="G259" s="705"/>
      <c r="H259" s="705"/>
      <c r="I259" s="705"/>
      <c r="J259" s="705"/>
      <c r="K259" s="705"/>
      <c r="L259" s="706"/>
      <c r="M259" s="152"/>
      <c r="O259" s="154"/>
      <c r="P259" s="154"/>
    </row>
    <row r="260" spans="1:16" s="3" customFormat="1" x14ac:dyDescent="0.35">
      <c r="A260" s="12"/>
      <c r="B260" s="704"/>
      <c r="C260" s="705"/>
      <c r="D260" s="705"/>
      <c r="E260" s="705"/>
      <c r="F260" s="705"/>
      <c r="G260" s="705"/>
      <c r="H260" s="705"/>
      <c r="I260" s="705"/>
      <c r="J260" s="705"/>
      <c r="K260" s="705"/>
      <c r="L260" s="706"/>
      <c r="M260" s="152"/>
      <c r="O260" s="154"/>
      <c r="P260" s="154"/>
    </row>
    <row r="261" spans="1:16" s="3" customFormat="1" x14ac:dyDescent="0.35">
      <c r="A261" s="12"/>
      <c r="B261" s="704"/>
      <c r="C261" s="705"/>
      <c r="D261" s="705"/>
      <c r="E261" s="705"/>
      <c r="F261" s="705"/>
      <c r="G261" s="705"/>
      <c r="H261" s="705"/>
      <c r="I261" s="705"/>
      <c r="J261" s="705"/>
      <c r="K261" s="705"/>
      <c r="L261" s="706"/>
      <c r="M261" s="152"/>
      <c r="O261" s="154"/>
      <c r="P261" s="154"/>
    </row>
    <row r="262" spans="1:16" s="3" customFormat="1" x14ac:dyDescent="0.35">
      <c r="A262" s="12"/>
      <c r="B262" s="704"/>
      <c r="C262" s="705"/>
      <c r="D262" s="705"/>
      <c r="E262" s="705"/>
      <c r="F262" s="705"/>
      <c r="G262" s="705"/>
      <c r="H262" s="705"/>
      <c r="I262" s="705"/>
      <c r="J262" s="705"/>
      <c r="K262" s="705"/>
      <c r="L262" s="706"/>
      <c r="M262" s="152"/>
      <c r="O262" s="154"/>
      <c r="P262" s="154"/>
    </row>
    <row r="263" spans="1:16" s="3" customFormat="1" x14ac:dyDescent="0.35">
      <c r="A263" s="12"/>
      <c r="B263" s="704"/>
      <c r="C263" s="705"/>
      <c r="D263" s="705"/>
      <c r="E263" s="705"/>
      <c r="F263" s="705"/>
      <c r="G263" s="705"/>
      <c r="H263" s="705"/>
      <c r="I263" s="705"/>
      <c r="J263" s="705"/>
      <c r="K263" s="705"/>
      <c r="L263" s="706"/>
      <c r="M263" s="152"/>
      <c r="O263" s="154"/>
      <c r="P263" s="154"/>
    </row>
    <row r="264" spans="1:16" s="152" customFormat="1" x14ac:dyDescent="0.35">
      <c r="A264" s="172"/>
      <c r="B264" s="186"/>
      <c r="C264" s="187"/>
      <c r="D264" s="187"/>
      <c r="E264" s="187"/>
      <c r="F264" s="187"/>
      <c r="G264" s="187"/>
      <c r="H264" s="187"/>
      <c r="I264" s="187"/>
      <c r="J264" s="187"/>
      <c r="K264" s="187"/>
      <c r="L264" s="185"/>
      <c r="O264" s="9"/>
      <c r="P264" s="9"/>
    </row>
    <row r="265" spans="1:16" s="3" customFormat="1" x14ac:dyDescent="0.35">
      <c r="A265" s="12"/>
      <c r="B265" s="710" t="s">
        <v>292</v>
      </c>
      <c r="C265" s="711"/>
      <c r="D265" s="711"/>
      <c r="E265" s="711"/>
      <c r="F265" s="711"/>
      <c r="G265" s="711"/>
      <c r="H265" s="711"/>
      <c r="I265" s="711"/>
      <c r="J265" s="711"/>
      <c r="K265" s="711"/>
      <c r="L265" s="712"/>
      <c r="M265" s="167"/>
      <c r="O265" s="154"/>
      <c r="P265" s="154"/>
    </row>
    <row r="266" spans="1:16" s="152" customFormat="1" x14ac:dyDescent="0.35">
      <c r="A266" s="172"/>
      <c r="B266" s="184"/>
      <c r="C266" s="173"/>
      <c r="D266" s="173"/>
      <c r="E266" s="173"/>
      <c r="F266" s="173"/>
      <c r="G266" s="173"/>
      <c r="H266" s="173"/>
      <c r="I266" s="173"/>
      <c r="J266" s="173"/>
      <c r="K266" s="173"/>
      <c r="L266" s="174"/>
      <c r="O266" s="9"/>
      <c r="P266" s="9"/>
    </row>
    <row r="267" spans="1:16" s="152" customFormat="1" x14ac:dyDescent="0.35">
      <c r="A267" s="172"/>
      <c r="B267" s="608" t="str">
        <f>IF(Intro!$G$21="English",O267,P267)</f>
        <v>Expliquez les circonstances dans lesquelles les acheteurs canadiens sont prêts à payer une prime pour les marchandises produites au Canada. Quel serait le montant de cette prime?</v>
      </c>
      <c r="C267" s="609"/>
      <c r="D267" s="609"/>
      <c r="E267" s="609"/>
      <c r="F267" s="609"/>
      <c r="G267" s="609"/>
      <c r="H267" s="609"/>
      <c r="I267" s="609"/>
      <c r="J267" s="609"/>
      <c r="K267" s="609"/>
      <c r="L267" s="610"/>
      <c r="O267" s="9" t="s">
        <v>344</v>
      </c>
      <c r="P267" s="9" t="s">
        <v>406</v>
      </c>
    </row>
    <row r="268" spans="1:16" s="152" customFormat="1" x14ac:dyDescent="0.35">
      <c r="A268" s="172"/>
      <c r="B268" s="608"/>
      <c r="C268" s="609"/>
      <c r="D268" s="609"/>
      <c r="E268" s="609"/>
      <c r="F268" s="609"/>
      <c r="G268" s="609"/>
      <c r="H268" s="609"/>
      <c r="I268" s="609"/>
      <c r="J268" s="609"/>
      <c r="K268" s="609"/>
      <c r="L268" s="610"/>
      <c r="O268" s="9"/>
      <c r="P268" s="9"/>
    </row>
    <row r="269" spans="1:16" s="152" customFormat="1" x14ac:dyDescent="0.35">
      <c r="A269" s="172"/>
      <c r="B269" s="184"/>
      <c r="C269" s="173"/>
      <c r="D269" s="173"/>
      <c r="E269" s="173"/>
      <c r="F269" s="173"/>
      <c r="G269" s="173"/>
      <c r="H269" s="173"/>
      <c r="I269" s="173"/>
      <c r="J269" s="173"/>
      <c r="K269" s="173"/>
      <c r="L269" s="174"/>
      <c r="O269" s="9"/>
      <c r="P269" s="9"/>
    </row>
    <row r="270" spans="1:16" x14ac:dyDescent="0.35">
      <c r="B270" s="628" t="str">
        <f>IF(Intro!$G$21="English",O270,P270)</f>
        <v xml:space="preserve"> Majoration du prix</v>
      </c>
      <c r="C270" s="629"/>
      <c r="D270" s="205" t="s">
        <v>186</v>
      </c>
      <c r="E270" s="206"/>
      <c r="F270" s="173"/>
      <c r="G270" s="173"/>
      <c r="H270" s="173"/>
      <c r="I270" s="173"/>
      <c r="J270" s="173"/>
      <c r="K270" s="173"/>
      <c r="L270" s="174"/>
      <c r="M270" s="2"/>
      <c r="O270" s="9" t="s">
        <v>290</v>
      </c>
      <c r="P270" s="9" t="s">
        <v>291</v>
      </c>
    </row>
    <row r="271" spans="1:16" s="152" customFormat="1" x14ac:dyDescent="0.35">
      <c r="A271" s="172"/>
      <c r="B271" s="184"/>
      <c r="C271" s="173"/>
      <c r="D271" s="173"/>
      <c r="E271" s="173"/>
      <c r="F271" s="173"/>
      <c r="G271" s="173"/>
      <c r="H271" s="173"/>
      <c r="I271" s="173"/>
      <c r="J271" s="173"/>
      <c r="K271" s="173"/>
      <c r="L271" s="174"/>
      <c r="O271" s="9"/>
      <c r="P271" s="9"/>
    </row>
    <row r="272" spans="1:16" s="3" customFormat="1" x14ac:dyDescent="0.35">
      <c r="A272" s="12"/>
      <c r="B272" s="704"/>
      <c r="C272" s="705"/>
      <c r="D272" s="705"/>
      <c r="E272" s="705"/>
      <c r="F272" s="705"/>
      <c r="G272" s="705"/>
      <c r="H272" s="705"/>
      <c r="I272" s="705"/>
      <c r="J272" s="705"/>
      <c r="K272" s="705"/>
      <c r="L272" s="706"/>
      <c r="M272" s="152"/>
      <c r="O272" s="154"/>
      <c r="P272" s="154"/>
    </row>
    <row r="273" spans="1:16" s="3" customFormat="1" x14ac:dyDescent="0.35">
      <c r="A273" s="12"/>
      <c r="B273" s="704"/>
      <c r="C273" s="705"/>
      <c r="D273" s="705"/>
      <c r="E273" s="705"/>
      <c r="F273" s="705"/>
      <c r="G273" s="705"/>
      <c r="H273" s="705"/>
      <c r="I273" s="705"/>
      <c r="J273" s="705"/>
      <c r="K273" s="705"/>
      <c r="L273" s="706"/>
      <c r="M273" s="152"/>
      <c r="O273" s="154"/>
      <c r="P273" s="154"/>
    </row>
    <row r="274" spans="1:16" s="3" customFormat="1" x14ac:dyDescent="0.35">
      <c r="A274" s="12"/>
      <c r="B274" s="704"/>
      <c r="C274" s="705"/>
      <c r="D274" s="705"/>
      <c r="E274" s="705"/>
      <c r="F274" s="705"/>
      <c r="G274" s="705"/>
      <c r="H274" s="705"/>
      <c r="I274" s="705"/>
      <c r="J274" s="705"/>
      <c r="K274" s="705"/>
      <c r="L274" s="706"/>
      <c r="M274" s="152"/>
      <c r="O274" s="154"/>
      <c r="P274" s="154"/>
    </row>
    <row r="275" spans="1:16" s="3" customFormat="1" x14ac:dyDescent="0.35">
      <c r="A275" s="12"/>
      <c r="B275" s="704"/>
      <c r="C275" s="705"/>
      <c r="D275" s="705"/>
      <c r="E275" s="705"/>
      <c r="F275" s="705"/>
      <c r="G275" s="705"/>
      <c r="H275" s="705"/>
      <c r="I275" s="705"/>
      <c r="J275" s="705"/>
      <c r="K275" s="705"/>
      <c r="L275" s="706"/>
      <c r="M275" s="152"/>
      <c r="O275" s="154"/>
      <c r="P275" s="154"/>
    </row>
    <row r="276" spans="1:16" s="3" customFormat="1" x14ac:dyDescent="0.35">
      <c r="A276" s="12"/>
      <c r="B276" s="704"/>
      <c r="C276" s="705"/>
      <c r="D276" s="705"/>
      <c r="E276" s="705"/>
      <c r="F276" s="705"/>
      <c r="G276" s="705"/>
      <c r="H276" s="705"/>
      <c r="I276" s="705"/>
      <c r="J276" s="705"/>
      <c r="K276" s="705"/>
      <c r="L276" s="706"/>
      <c r="M276" s="152"/>
      <c r="O276" s="154"/>
      <c r="P276" s="154"/>
    </row>
    <row r="277" spans="1:16" s="3" customFormat="1" x14ac:dyDescent="0.35">
      <c r="A277" s="12"/>
      <c r="B277" s="704"/>
      <c r="C277" s="705"/>
      <c r="D277" s="705"/>
      <c r="E277" s="705"/>
      <c r="F277" s="705"/>
      <c r="G277" s="705"/>
      <c r="H277" s="705"/>
      <c r="I277" s="705"/>
      <c r="J277" s="705"/>
      <c r="K277" s="705"/>
      <c r="L277" s="706"/>
      <c r="M277" s="152"/>
      <c r="O277" s="154"/>
      <c r="P277" s="154"/>
    </row>
    <row r="278" spans="1:16" s="3" customFormat="1" x14ac:dyDescent="0.35">
      <c r="A278" s="12"/>
      <c r="B278" s="704"/>
      <c r="C278" s="705"/>
      <c r="D278" s="705"/>
      <c r="E278" s="705"/>
      <c r="F278" s="705"/>
      <c r="G278" s="705"/>
      <c r="H278" s="705"/>
      <c r="I278" s="705"/>
      <c r="J278" s="705"/>
      <c r="K278" s="705"/>
      <c r="L278" s="706"/>
      <c r="M278" s="152"/>
      <c r="O278" s="154"/>
      <c r="P278" s="154"/>
    </row>
    <row r="279" spans="1:16" s="3" customFormat="1" x14ac:dyDescent="0.35">
      <c r="A279" s="12"/>
      <c r="B279" s="704"/>
      <c r="C279" s="705"/>
      <c r="D279" s="705"/>
      <c r="E279" s="705"/>
      <c r="F279" s="705"/>
      <c r="G279" s="705"/>
      <c r="H279" s="705"/>
      <c r="I279" s="705"/>
      <c r="J279" s="705"/>
      <c r="K279" s="705"/>
      <c r="L279" s="706"/>
      <c r="M279" s="152"/>
      <c r="O279" s="154"/>
      <c r="P279" s="154"/>
    </row>
    <row r="280" spans="1:16" s="152" customFormat="1" x14ac:dyDescent="0.35">
      <c r="A280" s="172"/>
      <c r="B280" s="186"/>
      <c r="C280" s="187"/>
      <c r="D280" s="187"/>
      <c r="E280" s="187"/>
      <c r="F280" s="187"/>
      <c r="G280" s="187"/>
      <c r="H280" s="187"/>
      <c r="I280" s="187"/>
      <c r="J280" s="187"/>
      <c r="K280" s="187"/>
      <c r="L280" s="185"/>
      <c r="O280" s="9"/>
      <c r="P280" s="9"/>
    </row>
    <row r="281" spans="1:16" s="3" customFormat="1" x14ac:dyDescent="0.35">
      <c r="A281" s="12"/>
      <c r="B281" s="710" t="s">
        <v>293</v>
      </c>
      <c r="C281" s="711"/>
      <c r="D281" s="711"/>
      <c r="E281" s="711"/>
      <c r="F281" s="711"/>
      <c r="G281" s="711"/>
      <c r="H281" s="711"/>
      <c r="I281" s="711"/>
      <c r="J281" s="711"/>
      <c r="K281" s="711"/>
      <c r="L281" s="712"/>
      <c r="M281" s="167"/>
      <c r="O281" s="154"/>
      <c r="P281" s="154"/>
    </row>
    <row r="282" spans="1:16" s="152" customFormat="1" x14ac:dyDescent="0.35">
      <c r="A282" s="172"/>
      <c r="B282" s="184"/>
      <c r="C282" s="173"/>
      <c r="D282" s="173"/>
      <c r="E282" s="173"/>
      <c r="F282" s="173"/>
      <c r="G282" s="173"/>
      <c r="H282" s="173"/>
      <c r="I282" s="173"/>
      <c r="J282" s="173"/>
      <c r="K282" s="173"/>
      <c r="L282" s="174"/>
      <c r="O282" s="9"/>
      <c r="P282" s="9"/>
    </row>
    <row r="283" spans="1:16" s="152" customFormat="1" x14ac:dyDescent="0.35">
      <c r="A283" s="172"/>
      <c r="B283" s="707" t="str">
        <f>IF(Intro!$G$21="English",O283,P283)</f>
        <v>Dans quelle mesure les marchandises produites au Canada sont-elles interchangeables avec les marchandises importées de la Chine?</v>
      </c>
      <c r="C283" s="708"/>
      <c r="D283" s="708"/>
      <c r="E283" s="708"/>
      <c r="F283" s="708"/>
      <c r="G283" s="708"/>
      <c r="H283" s="708"/>
      <c r="I283" s="708"/>
      <c r="J283" s="708"/>
      <c r="K283" s="708"/>
      <c r="L283" s="709"/>
      <c r="O283" s="9" t="str">
        <f>"To what extent are the goods produced in Canada interchangeable with the goods imported from "&amp;Variables!B5&amp;"?"</f>
        <v>To what extent are the goods produced in Canada interchangeable with the goods imported from China?</v>
      </c>
      <c r="P283" s="9" t="str">
        <f>"Dans quelle mesure les marchandises produites au Canada sont-elles interchangeables avec les marchandises importées de "&amp;Variables!C5&amp;"?"</f>
        <v>Dans quelle mesure les marchandises produites au Canada sont-elles interchangeables avec les marchandises importées de la Chine?</v>
      </c>
    </row>
    <row r="284" spans="1:16" s="152" customFormat="1" x14ac:dyDescent="0.35">
      <c r="A284" s="172"/>
      <c r="B284" s="184"/>
      <c r="C284" s="173"/>
      <c r="D284" s="173"/>
      <c r="E284" s="173"/>
      <c r="F284" s="173"/>
      <c r="G284" s="173"/>
      <c r="H284" s="173"/>
      <c r="I284" s="173"/>
      <c r="J284" s="173"/>
      <c r="K284" s="173"/>
      <c r="L284" s="174"/>
      <c r="O284" s="9"/>
      <c r="P284" s="9"/>
    </row>
    <row r="285" spans="1:16" s="3" customFormat="1" x14ac:dyDescent="0.35">
      <c r="A285" s="12"/>
      <c r="B285" s="704"/>
      <c r="C285" s="705"/>
      <c r="D285" s="705"/>
      <c r="E285" s="705"/>
      <c r="F285" s="705"/>
      <c r="G285" s="705"/>
      <c r="H285" s="705"/>
      <c r="I285" s="705"/>
      <c r="J285" s="705"/>
      <c r="K285" s="705"/>
      <c r="L285" s="706"/>
      <c r="M285" s="152"/>
      <c r="O285" s="154"/>
      <c r="P285" s="154"/>
    </row>
    <row r="286" spans="1:16" s="3" customFormat="1" x14ac:dyDescent="0.35">
      <c r="A286" s="12"/>
      <c r="B286" s="704"/>
      <c r="C286" s="705"/>
      <c r="D286" s="705"/>
      <c r="E286" s="705"/>
      <c r="F286" s="705"/>
      <c r="G286" s="705"/>
      <c r="H286" s="705"/>
      <c r="I286" s="705"/>
      <c r="J286" s="705"/>
      <c r="K286" s="705"/>
      <c r="L286" s="706"/>
      <c r="M286" s="152"/>
      <c r="O286" s="154"/>
      <c r="P286" s="154"/>
    </row>
    <row r="287" spans="1:16" s="3" customFormat="1" x14ac:dyDescent="0.35">
      <c r="A287" s="12"/>
      <c r="B287" s="704"/>
      <c r="C287" s="705"/>
      <c r="D287" s="705"/>
      <c r="E287" s="705"/>
      <c r="F287" s="705"/>
      <c r="G287" s="705"/>
      <c r="H287" s="705"/>
      <c r="I287" s="705"/>
      <c r="J287" s="705"/>
      <c r="K287" s="705"/>
      <c r="L287" s="706"/>
      <c r="M287" s="152"/>
      <c r="O287" s="154"/>
      <c r="P287" s="154"/>
    </row>
    <row r="288" spans="1:16" s="3" customFormat="1" x14ac:dyDescent="0.35">
      <c r="A288" s="12"/>
      <c r="B288" s="704"/>
      <c r="C288" s="705"/>
      <c r="D288" s="705"/>
      <c r="E288" s="705"/>
      <c r="F288" s="705"/>
      <c r="G288" s="705"/>
      <c r="H288" s="705"/>
      <c r="I288" s="705"/>
      <c r="J288" s="705"/>
      <c r="K288" s="705"/>
      <c r="L288" s="706"/>
      <c r="M288" s="152"/>
      <c r="O288" s="154"/>
      <c r="P288" s="154"/>
    </row>
    <row r="289" spans="1:16" s="3" customFormat="1" x14ac:dyDescent="0.35">
      <c r="A289" s="12"/>
      <c r="B289" s="704"/>
      <c r="C289" s="705"/>
      <c r="D289" s="705"/>
      <c r="E289" s="705"/>
      <c r="F289" s="705"/>
      <c r="G289" s="705"/>
      <c r="H289" s="705"/>
      <c r="I289" s="705"/>
      <c r="J289" s="705"/>
      <c r="K289" s="705"/>
      <c r="L289" s="706"/>
      <c r="M289" s="152"/>
      <c r="O289" s="154"/>
      <c r="P289" s="154"/>
    </row>
    <row r="290" spans="1:16" s="3" customFormat="1" x14ac:dyDescent="0.35">
      <c r="A290" s="12"/>
      <c r="B290" s="704"/>
      <c r="C290" s="705"/>
      <c r="D290" s="705"/>
      <c r="E290" s="705"/>
      <c r="F290" s="705"/>
      <c r="G290" s="705"/>
      <c r="H290" s="705"/>
      <c r="I290" s="705"/>
      <c r="J290" s="705"/>
      <c r="K290" s="705"/>
      <c r="L290" s="706"/>
      <c r="M290" s="152"/>
      <c r="O290" s="154"/>
      <c r="P290" s="154"/>
    </row>
    <row r="291" spans="1:16" s="3" customFormat="1" x14ac:dyDescent="0.35">
      <c r="A291" s="12"/>
      <c r="B291" s="704"/>
      <c r="C291" s="705"/>
      <c r="D291" s="705"/>
      <c r="E291" s="705"/>
      <c r="F291" s="705"/>
      <c r="G291" s="705"/>
      <c r="H291" s="705"/>
      <c r="I291" s="705"/>
      <c r="J291" s="705"/>
      <c r="K291" s="705"/>
      <c r="L291" s="706"/>
      <c r="M291" s="152"/>
      <c r="O291" s="154"/>
      <c r="P291" s="154"/>
    </row>
    <row r="292" spans="1:16" s="3" customFormat="1" x14ac:dyDescent="0.35">
      <c r="A292" s="12"/>
      <c r="B292" s="704"/>
      <c r="C292" s="705"/>
      <c r="D292" s="705"/>
      <c r="E292" s="705"/>
      <c r="F292" s="705"/>
      <c r="G292" s="705"/>
      <c r="H292" s="705"/>
      <c r="I292" s="705"/>
      <c r="J292" s="705"/>
      <c r="K292" s="705"/>
      <c r="L292" s="706"/>
      <c r="M292" s="152"/>
      <c r="O292" s="154"/>
      <c r="P292" s="154"/>
    </row>
    <row r="293" spans="1:16" s="152" customFormat="1" x14ac:dyDescent="0.35">
      <c r="A293" s="172"/>
      <c r="B293" s="186"/>
      <c r="C293" s="187"/>
      <c r="D293" s="187"/>
      <c r="E293" s="187"/>
      <c r="F293" s="187"/>
      <c r="G293" s="187"/>
      <c r="H293" s="187"/>
      <c r="I293" s="187"/>
      <c r="J293" s="187"/>
      <c r="K293" s="187"/>
      <c r="L293" s="185"/>
      <c r="O293" s="9"/>
      <c r="P293" s="9"/>
    </row>
    <row r="294" spans="1:16" s="3" customFormat="1" x14ac:dyDescent="0.35">
      <c r="A294" s="12"/>
      <c r="B294" s="710" t="s">
        <v>294</v>
      </c>
      <c r="C294" s="711"/>
      <c r="D294" s="711"/>
      <c r="E294" s="711"/>
      <c r="F294" s="711"/>
      <c r="G294" s="711"/>
      <c r="H294" s="711"/>
      <c r="I294" s="711"/>
      <c r="J294" s="711"/>
      <c r="K294" s="711"/>
      <c r="L294" s="712"/>
      <c r="M294" s="167"/>
      <c r="O294" s="154"/>
      <c r="P294" s="154"/>
    </row>
    <row r="295" spans="1:16" s="152" customFormat="1" x14ac:dyDescent="0.35">
      <c r="A295" s="172"/>
      <c r="B295" s="184"/>
      <c r="C295" s="173"/>
      <c r="D295" s="173"/>
      <c r="E295" s="173"/>
      <c r="F295" s="173"/>
      <c r="G295" s="173"/>
      <c r="H295" s="173"/>
      <c r="I295" s="173"/>
      <c r="J295" s="173"/>
      <c r="K295" s="173"/>
      <c r="L295" s="174"/>
      <c r="O295" s="9"/>
      <c r="P295" s="9"/>
    </row>
    <row r="296" spans="1:16" s="152" customFormat="1" x14ac:dyDescent="0.35">
      <c r="A296" s="172"/>
      <c r="B296" s="707" t="str">
        <f>IF(Intro!$G$21="English",O296,P296)</f>
        <v>Dans quelle mesure les marchandises produites au Canada sont-elles comparables en prix aux marchandises importées la Chine?</v>
      </c>
      <c r="C296" s="708"/>
      <c r="D296" s="708"/>
      <c r="E296" s="708"/>
      <c r="F296" s="708"/>
      <c r="G296" s="708"/>
      <c r="H296" s="708"/>
      <c r="I296" s="708"/>
      <c r="J296" s="708"/>
      <c r="K296" s="708"/>
      <c r="L296" s="709"/>
      <c r="O296" s="9" t="str">
        <f>"To what extent are the goods produced in Canada comparable in price with the goods imported from "&amp;Variables!B5&amp;"?"</f>
        <v>To what extent are the goods produced in Canada comparable in price with the goods imported from China?</v>
      </c>
      <c r="P296" s="9" t="str">
        <f>"Dans quelle mesure les marchandises produites au Canada sont-elles comparables en prix aux marchandises importées "&amp;Variables!C5&amp;"?"</f>
        <v>Dans quelle mesure les marchandises produites au Canada sont-elles comparables en prix aux marchandises importées la Chine?</v>
      </c>
    </row>
    <row r="297" spans="1:16" s="152" customFormat="1" x14ac:dyDescent="0.35">
      <c r="A297" s="172"/>
      <c r="B297" s="184"/>
      <c r="C297" s="173"/>
      <c r="D297" s="173"/>
      <c r="E297" s="173"/>
      <c r="F297" s="173"/>
      <c r="G297" s="173"/>
      <c r="H297" s="173"/>
      <c r="I297" s="173"/>
      <c r="J297" s="173"/>
      <c r="K297" s="173"/>
      <c r="L297" s="174"/>
      <c r="O297" s="9"/>
      <c r="P297" s="9"/>
    </row>
    <row r="298" spans="1:16" s="3" customFormat="1" x14ac:dyDescent="0.35">
      <c r="A298" s="12"/>
      <c r="B298" s="704"/>
      <c r="C298" s="705"/>
      <c r="D298" s="705"/>
      <c r="E298" s="705"/>
      <c r="F298" s="705"/>
      <c r="G298" s="705"/>
      <c r="H298" s="705"/>
      <c r="I298" s="705"/>
      <c r="J298" s="705"/>
      <c r="K298" s="705"/>
      <c r="L298" s="706"/>
      <c r="M298" s="152"/>
      <c r="O298" s="154"/>
      <c r="P298" s="154"/>
    </row>
    <row r="299" spans="1:16" s="3" customFormat="1" x14ac:dyDescent="0.35">
      <c r="A299" s="12"/>
      <c r="B299" s="704"/>
      <c r="C299" s="705"/>
      <c r="D299" s="705"/>
      <c r="E299" s="705"/>
      <c r="F299" s="705"/>
      <c r="G299" s="705"/>
      <c r="H299" s="705"/>
      <c r="I299" s="705"/>
      <c r="J299" s="705"/>
      <c r="K299" s="705"/>
      <c r="L299" s="706"/>
      <c r="M299" s="152"/>
      <c r="O299" s="154"/>
      <c r="P299" s="154"/>
    </row>
    <row r="300" spans="1:16" s="3" customFormat="1" x14ac:dyDescent="0.35">
      <c r="A300" s="12"/>
      <c r="B300" s="704"/>
      <c r="C300" s="705"/>
      <c r="D300" s="705"/>
      <c r="E300" s="705"/>
      <c r="F300" s="705"/>
      <c r="G300" s="705"/>
      <c r="H300" s="705"/>
      <c r="I300" s="705"/>
      <c r="J300" s="705"/>
      <c r="K300" s="705"/>
      <c r="L300" s="706"/>
      <c r="M300" s="152"/>
      <c r="O300" s="154"/>
      <c r="P300" s="154"/>
    </row>
    <row r="301" spans="1:16" s="3" customFormat="1" x14ac:dyDescent="0.35">
      <c r="A301" s="12"/>
      <c r="B301" s="704"/>
      <c r="C301" s="705"/>
      <c r="D301" s="705"/>
      <c r="E301" s="705"/>
      <c r="F301" s="705"/>
      <c r="G301" s="705"/>
      <c r="H301" s="705"/>
      <c r="I301" s="705"/>
      <c r="J301" s="705"/>
      <c r="K301" s="705"/>
      <c r="L301" s="706"/>
      <c r="M301" s="152"/>
      <c r="O301" s="154"/>
      <c r="P301" s="154"/>
    </row>
    <row r="302" spans="1:16" s="3" customFormat="1" x14ac:dyDescent="0.35">
      <c r="A302" s="12"/>
      <c r="B302" s="704"/>
      <c r="C302" s="705"/>
      <c r="D302" s="705"/>
      <c r="E302" s="705"/>
      <c r="F302" s="705"/>
      <c r="G302" s="705"/>
      <c r="H302" s="705"/>
      <c r="I302" s="705"/>
      <c r="J302" s="705"/>
      <c r="K302" s="705"/>
      <c r="L302" s="706"/>
      <c r="M302" s="152"/>
      <c r="O302" s="154"/>
      <c r="P302" s="154"/>
    </row>
    <row r="303" spans="1:16" s="3" customFormat="1" x14ac:dyDescent="0.35">
      <c r="A303" s="12"/>
      <c r="B303" s="704"/>
      <c r="C303" s="705"/>
      <c r="D303" s="705"/>
      <c r="E303" s="705"/>
      <c r="F303" s="705"/>
      <c r="G303" s="705"/>
      <c r="H303" s="705"/>
      <c r="I303" s="705"/>
      <c r="J303" s="705"/>
      <c r="K303" s="705"/>
      <c r="L303" s="706"/>
      <c r="M303" s="152"/>
      <c r="O303" s="154"/>
      <c r="P303" s="154"/>
    </row>
    <row r="304" spans="1:16" s="3" customFormat="1" x14ac:dyDescent="0.35">
      <c r="A304" s="12"/>
      <c r="B304" s="704"/>
      <c r="C304" s="705"/>
      <c r="D304" s="705"/>
      <c r="E304" s="705"/>
      <c r="F304" s="705"/>
      <c r="G304" s="705"/>
      <c r="H304" s="705"/>
      <c r="I304" s="705"/>
      <c r="J304" s="705"/>
      <c r="K304" s="705"/>
      <c r="L304" s="706"/>
      <c r="M304" s="152"/>
      <c r="O304" s="154"/>
      <c r="P304" s="154"/>
    </row>
    <row r="305" spans="1:16" s="3" customFormat="1" x14ac:dyDescent="0.35">
      <c r="A305" s="12"/>
      <c r="B305" s="704"/>
      <c r="C305" s="705"/>
      <c r="D305" s="705"/>
      <c r="E305" s="705"/>
      <c r="F305" s="705"/>
      <c r="G305" s="705"/>
      <c r="H305" s="705"/>
      <c r="I305" s="705"/>
      <c r="J305" s="705"/>
      <c r="K305" s="705"/>
      <c r="L305" s="706"/>
      <c r="M305" s="152"/>
      <c r="O305" s="154"/>
      <c r="P305" s="154"/>
    </row>
    <row r="306" spans="1:16" s="152" customFormat="1" x14ac:dyDescent="0.35">
      <c r="A306" s="172"/>
      <c r="B306" s="186"/>
      <c r="C306" s="187"/>
      <c r="D306" s="187"/>
      <c r="E306" s="187"/>
      <c r="F306" s="187"/>
      <c r="G306" s="187"/>
      <c r="H306" s="187"/>
      <c r="I306" s="187"/>
      <c r="J306" s="187"/>
      <c r="K306" s="187"/>
      <c r="L306" s="185"/>
      <c r="O306" s="9"/>
      <c r="P306" s="9"/>
    </row>
    <row r="307" spans="1:16" s="3" customFormat="1" x14ac:dyDescent="0.35">
      <c r="A307" s="12"/>
      <c r="B307" s="710" t="s">
        <v>295</v>
      </c>
      <c r="C307" s="711"/>
      <c r="D307" s="711"/>
      <c r="E307" s="711"/>
      <c r="F307" s="711"/>
      <c r="G307" s="711"/>
      <c r="H307" s="711"/>
      <c r="I307" s="711"/>
      <c r="J307" s="711"/>
      <c r="K307" s="711"/>
      <c r="L307" s="712"/>
      <c r="M307" s="167"/>
      <c r="O307" s="154"/>
      <c r="P307" s="154"/>
    </row>
    <row r="308" spans="1:16" s="152" customFormat="1" x14ac:dyDescent="0.35">
      <c r="A308" s="172"/>
      <c r="B308" s="184"/>
      <c r="C308" s="173"/>
      <c r="D308" s="173"/>
      <c r="E308" s="173"/>
      <c r="F308" s="173"/>
      <c r="G308" s="173"/>
      <c r="H308" s="173"/>
      <c r="I308" s="173"/>
      <c r="J308" s="173"/>
      <c r="K308" s="173"/>
      <c r="L308" s="174"/>
      <c r="O308" s="9"/>
      <c r="P308" s="9"/>
    </row>
    <row r="309" spans="1:16" s="152" customFormat="1" x14ac:dyDescent="0.35">
      <c r="A309" s="172"/>
      <c r="B309" s="608" t="str">
        <f>IF(Intro!$G$21="English",O309,P309)</f>
        <v>Dans quelle mesure les marchandises produites au Canada sont-elles comparables en termes de facteurs autres que le prix (y compris la qualité du produit, les délais d'exécution et de livraison, la fiabilité de l'approvisionnement, etc.) avec les marchandises importées la Chine?</v>
      </c>
      <c r="C309" s="609"/>
      <c r="D309" s="609"/>
      <c r="E309" s="609"/>
      <c r="F309" s="609"/>
      <c r="G309" s="609"/>
      <c r="H309" s="609"/>
      <c r="I309" s="609"/>
      <c r="J309" s="609"/>
      <c r="K309" s="609"/>
      <c r="L309" s="610"/>
      <c r="O309" s="9" t="str">
        <f>"To what extent are the goods produced in Canada comparable in non-price factors (including product quality, lead and delivery times, reliability of supply) with the goods imported from "&amp;Variables!B5&amp;"?"</f>
        <v>To what extent are the goods produced in Canada comparable in non-price factors (including product quality, lead and delivery times, reliability of supply) with the goods imported from China?</v>
      </c>
      <c r="P309" s="9"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la Chine?</v>
      </c>
    </row>
    <row r="310" spans="1:16" s="152" customFormat="1" x14ac:dyDescent="0.35">
      <c r="A310" s="172"/>
      <c r="B310" s="608"/>
      <c r="C310" s="609"/>
      <c r="D310" s="609"/>
      <c r="E310" s="609"/>
      <c r="F310" s="609"/>
      <c r="G310" s="609"/>
      <c r="H310" s="609"/>
      <c r="I310" s="609"/>
      <c r="J310" s="609"/>
      <c r="K310" s="609"/>
      <c r="L310" s="610"/>
      <c r="O310" s="9"/>
      <c r="P310" s="9"/>
    </row>
    <row r="311" spans="1:16" s="152" customFormat="1" x14ac:dyDescent="0.35">
      <c r="A311" s="172"/>
      <c r="B311" s="184"/>
      <c r="C311" s="173"/>
      <c r="D311" s="173"/>
      <c r="E311" s="173"/>
      <c r="F311" s="173"/>
      <c r="G311" s="173"/>
      <c r="H311" s="173"/>
      <c r="I311" s="173"/>
      <c r="J311" s="173"/>
      <c r="K311" s="173"/>
      <c r="L311" s="174"/>
      <c r="O311" s="9"/>
      <c r="P311" s="9"/>
    </row>
    <row r="312" spans="1:16" s="3" customFormat="1" x14ac:dyDescent="0.35">
      <c r="A312" s="12"/>
      <c r="B312" s="704"/>
      <c r="C312" s="705"/>
      <c r="D312" s="705"/>
      <c r="E312" s="705"/>
      <c r="F312" s="705"/>
      <c r="G312" s="705"/>
      <c r="H312" s="705"/>
      <c r="I312" s="705"/>
      <c r="J312" s="705"/>
      <c r="K312" s="705"/>
      <c r="L312" s="706"/>
      <c r="M312" s="152"/>
      <c r="O312" s="154"/>
      <c r="P312" s="154"/>
    </row>
    <row r="313" spans="1:16" s="3" customFormat="1" x14ac:dyDescent="0.35">
      <c r="A313" s="12"/>
      <c r="B313" s="704"/>
      <c r="C313" s="705"/>
      <c r="D313" s="705"/>
      <c r="E313" s="705"/>
      <c r="F313" s="705"/>
      <c r="G313" s="705"/>
      <c r="H313" s="705"/>
      <c r="I313" s="705"/>
      <c r="J313" s="705"/>
      <c r="K313" s="705"/>
      <c r="L313" s="706"/>
      <c r="M313" s="152"/>
      <c r="O313" s="154"/>
      <c r="P313" s="154"/>
    </row>
    <row r="314" spans="1:16" s="3" customFormat="1" x14ac:dyDescent="0.35">
      <c r="A314" s="12"/>
      <c r="B314" s="704"/>
      <c r="C314" s="705"/>
      <c r="D314" s="705"/>
      <c r="E314" s="705"/>
      <c r="F314" s="705"/>
      <c r="G314" s="705"/>
      <c r="H314" s="705"/>
      <c r="I314" s="705"/>
      <c r="J314" s="705"/>
      <c r="K314" s="705"/>
      <c r="L314" s="706"/>
      <c r="M314" s="152"/>
      <c r="O314" s="154"/>
      <c r="P314" s="154"/>
    </row>
    <row r="315" spans="1:16" s="3" customFormat="1" x14ac:dyDescent="0.35">
      <c r="A315" s="12"/>
      <c r="B315" s="704"/>
      <c r="C315" s="705"/>
      <c r="D315" s="705"/>
      <c r="E315" s="705"/>
      <c r="F315" s="705"/>
      <c r="G315" s="705"/>
      <c r="H315" s="705"/>
      <c r="I315" s="705"/>
      <c r="J315" s="705"/>
      <c r="K315" s="705"/>
      <c r="L315" s="706"/>
      <c r="M315" s="152"/>
      <c r="O315" s="154"/>
      <c r="P315" s="154"/>
    </row>
    <row r="316" spans="1:16" s="3" customFormat="1" x14ac:dyDescent="0.35">
      <c r="A316" s="12"/>
      <c r="B316" s="704"/>
      <c r="C316" s="705"/>
      <c r="D316" s="705"/>
      <c r="E316" s="705"/>
      <c r="F316" s="705"/>
      <c r="G316" s="705"/>
      <c r="H316" s="705"/>
      <c r="I316" s="705"/>
      <c r="J316" s="705"/>
      <c r="K316" s="705"/>
      <c r="L316" s="706"/>
      <c r="M316" s="152"/>
      <c r="O316" s="154"/>
      <c r="P316" s="154"/>
    </row>
    <row r="317" spans="1:16" s="3" customFormat="1" x14ac:dyDescent="0.35">
      <c r="A317" s="12"/>
      <c r="B317" s="704"/>
      <c r="C317" s="705"/>
      <c r="D317" s="705"/>
      <c r="E317" s="705"/>
      <c r="F317" s="705"/>
      <c r="G317" s="705"/>
      <c r="H317" s="705"/>
      <c r="I317" s="705"/>
      <c r="J317" s="705"/>
      <c r="K317" s="705"/>
      <c r="L317" s="706"/>
      <c r="M317" s="152"/>
      <c r="O317" s="154"/>
      <c r="P317" s="154"/>
    </row>
    <row r="318" spans="1:16" s="3" customFormat="1" x14ac:dyDescent="0.35">
      <c r="A318" s="12"/>
      <c r="B318" s="704"/>
      <c r="C318" s="705"/>
      <c r="D318" s="705"/>
      <c r="E318" s="705"/>
      <c r="F318" s="705"/>
      <c r="G318" s="705"/>
      <c r="H318" s="705"/>
      <c r="I318" s="705"/>
      <c r="J318" s="705"/>
      <c r="K318" s="705"/>
      <c r="L318" s="706"/>
      <c r="M318" s="152"/>
      <c r="O318" s="154"/>
      <c r="P318" s="154"/>
    </row>
    <row r="319" spans="1:16" s="3" customFormat="1" x14ac:dyDescent="0.35">
      <c r="A319" s="12"/>
      <c r="B319" s="704"/>
      <c r="C319" s="705"/>
      <c r="D319" s="705"/>
      <c r="E319" s="705"/>
      <c r="F319" s="705"/>
      <c r="G319" s="705"/>
      <c r="H319" s="705"/>
      <c r="I319" s="705"/>
      <c r="J319" s="705"/>
      <c r="K319" s="705"/>
      <c r="L319" s="706"/>
      <c r="M319" s="152"/>
      <c r="O319" s="154"/>
      <c r="P319" s="154"/>
    </row>
    <row r="320" spans="1:16" s="152" customFormat="1" x14ac:dyDescent="0.35">
      <c r="A320" s="172"/>
      <c r="B320" s="186"/>
      <c r="C320" s="187"/>
      <c r="D320" s="187"/>
      <c r="E320" s="187"/>
      <c r="F320" s="187"/>
      <c r="G320" s="187"/>
      <c r="H320" s="187"/>
      <c r="I320" s="187"/>
      <c r="J320" s="187"/>
      <c r="K320" s="187"/>
      <c r="L320" s="185"/>
      <c r="O320" s="9"/>
      <c r="P320" s="9"/>
    </row>
    <row r="322" spans="1:16" x14ac:dyDescent="0.35">
      <c r="B322" s="599" t="str">
        <f>IF(Intro!$G$21="English",O322,P322)</f>
        <v>VENTES</v>
      </c>
      <c r="C322" s="600"/>
      <c r="D322" s="600"/>
      <c r="E322" s="600"/>
      <c r="F322" s="600"/>
      <c r="G322" s="600"/>
      <c r="H322" s="600"/>
      <c r="I322" s="600"/>
      <c r="J322" s="600"/>
      <c r="K322" s="600"/>
      <c r="L322" s="601"/>
      <c r="M322" s="152"/>
      <c r="O322" s="9" t="s">
        <v>641</v>
      </c>
      <c r="P322" s="9" t="s">
        <v>642</v>
      </c>
    </row>
    <row r="323" spans="1:16" s="3" customFormat="1" x14ac:dyDescent="0.35">
      <c r="A323" s="12"/>
      <c r="B323" s="710" t="s">
        <v>308</v>
      </c>
      <c r="C323" s="711"/>
      <c r="D323" s="711"/>
      <c r="E323" s="711"/>
      <c r="F323" s="711"/>
      <c r="G323" s="711"/>
      <c r="H323" s="711"/>
      <c r="I323" s="711"/>
      <c r="J323" s="711"/>
      <c r="K323" s="711"/>
      <c r="L323" s="712"/>
      <c r="M323" s="167"/>
      <c r="O323" s="154"/>
      <c r="P323" s="154"/>
    </row>
    <row r="324" spans="1:16" s="152" customFormat="1" x14ac:dyDescent="0.35">
      <c r="A324" s="172"/>
      <c r="B324" s="184"/>
      <c r="C324" s="173"/>
      <c r="D324" s="173"/>
      <c r="E324" s="173"/>
      <c r="F324" s="173"/>
      <c r="G324" s="173"/>
      <c r="H324" s="173"/>
      <c r="I324" s="173"/>
      <c r="J324" s="173"/>
      <c r="K324" s="173"/>
      <c r="L324" s="174"/>
      <c r="O324" s="9"/>
      <c r="P324" s="9"/>
    </row>
    <row r="325" spans="1:16" s="152" customFormat="1" x14ac:dyDescent="0.35">
      <c r="A325" s="172"/>
      <c r="B325" s="707" t="str">
        <f>IF(Intro!$G$21="English",O325,P325)</f>
        <v>Décrivez tout changement dans les canaux de distribution de votre entreprise depuis le 1er janvier 2023.</v>
      </c>
      <c r="C325" s="708"/>
      <c r="D325" s="708"/>
      <c r="E325" s="708"/>
      <c r="F325" s="708"/>
      <c r="G325" s="708"/>
      <c r="H325" s="708"/>
      <c r="I325" s="708"/>
      <c r="J325" s="708"/>
      <c r="K325" s="708"/>
      <c r="L325" s="709"/>
      <c r="O325" s="9" t="str">
        <f>"Describe any changes in your firm's channels of distribution since January 1, "&amp;Variables!B6&amp;"."</f>
        <v>Describe any changes in your firm's channels of distribution since January 1, 2023.</v>
      </c>
      <c r="P325" s="9" t="str">
        <f>"Décrivez tout changement dans les canaux de distribution de votre entreprise depuis le 1er janvier "&amp;Variables!B6&amp;"."</f>
        <v>Décrivez tout changement dans les canaux de distribution de votre entreprise depuis le 1er janvier 2023.</v>
      </c>
    </row>
    <row r="326" spans="1:16" s="152" customFormat="1" x14ac:dyDescent="0.35">
      <c r="A326" s="172"/>
      <c r="B326" s="184"/>
      <c r="C326" s="173"/>
      <c r="D326" s="173"/>
      <c r="E326" s="173"/>
      <c r="F326" s="173"/>
      <c r="G326" s="173"/>
      <c r="H326" s="173"/>
      <c r="I326" s="173"/>
      <c r="J326" s="173"/>
      <c r="K326" s="173"/>
      <c r="L326" s="174"/>
      <c r="O326" s="9"/>
      <c r="P326" s="9"/>
    </row>
    <row r="327" spans="1:16" s="3" customFormat="1" x14ac:dyDescent="0.35">
      <c r="A327" s="12"/>
      <c r="B327" s="704"/>
      <c r="C327" s="705"/>
      <c r="D327" s="705"/>
      <c r="E327" s="705"/>
      <c r="F327" s="705"/>
      <c r="G327" s="705"/>
      <c r="H327" s="705"/>
      <c r="I327" s="705"/>
      <c r="J327" s="705"/>
      <c r="K327" s="705"/>
      <c r="L327" s="706"/>
      <c r="M327" s="152"/>
      <c r="O327" s="154"/>
      <c r="P327" s="154"/>
    </row>
    <row r="328" spans="1:16" s="3" customFormat="1" x14ac:dyDescent="0.35">
      <c r="A328" s="12"/>
      <c r="B328" s="704"/>
      <c r="C328" s="705"/>
      <c r="D328" s="705"/>
      <c r="E328" s="705"/>
      <c r="F328" s="705"/>
      <c r="G328" s="705"/>
      <c r="H328" s="705"/>
      <c r="I328" s="705"/>
      <c r="J328" s="705"/>
      <c r="K328" s="705"/>
      <c r="L328" s="706"/>
      <c r="M328" s="152"/>
      <c r="O328" s="154"/>
      <c r="P328" s="154"/>
    </row>
    <row r="329" spans="1:16" s="3" customFormat="1" x14ac:dyDescent="0.35">
      <c r="A329" s="12"/>
      <c r="B329" s="704"/>
      <c r="C329" s="705"/>
      <c r="D329" s="705"/>
      <c r="E329" s="705"/>
      <c r="F329" s="705"/>
      <c r="G329" s="705"/>
      <c r="H329" s="705"/>
      <c r="I329" s="705"/>
      <c r="J329" s="705"/>
      <c r="K329" s="705"/>
      <c r="L329" s="706"/>
      <c r="M329" s="152"/>
      <c r="O329" s="154"/>
      <c r="P329" s="154"/>
    </row>
    <row r="330" spans="1:16" s="3" customFormat="1" x14ac:dyDescent="0.35">
      <c r="A330" s="12"/>
      <c r="B330" s="704"/>
      <c r="C330" s="705"/>
      <c r="D330" s="705"/>
      <c r="E330" s="705"/>
      <c r="F330" s="705"/>
      <c r="G330" s="705"/>
      <c r="H330" s="705"/>
      <c r="I330" s="705"/>
      <c r="J330" s="705"/>
      <c r="K330" s="705"/>
      <c r="L330" s="706"/>
      <c r="M330" s="152"/>
      <c r="O330" s="154"/>
      <c r="P330" s="154"/>
    </row>
    <row r="331" spans="1:16" s="3" customFormat="1" x14ac:dyDescent="0.35">
      <c r="A331" s="12"/>
      <c r="B331" s="704"/>
      <c r="C331" s="705"/>
      <c r="D331" s="705"/>
      <c r="E331" s="705"/>
      <c r="F331" s="705"/>
      <c r="G331" s="705"/>
      <c r="H331" s="705"/>
      <c r="I331" s="705"/>
      <c r="J331" s="705"/>
      <c r="K331" s="705"/>
      <c r="L331" s="706"/>
      <c r="M331" s="152"/>
      <c r="O331" s="154"/>
      <c r="P331" s="154"/>
    </row>
    <row r="332" spans="1:16" s="3" customFormat="1" x14ac:dyDescent="0.35">
      <c r="A332" s="12"/>
      <c r="B332" s="704"/>
      <c r="C332" s="705"/>
      <c r="D332" s="705"/>
      <c r="E332" s="705"/>
      <c r="F332" s="705"/>
      <c r="G332" s="705"/>
      <c r="H332" s="705"/>
      <c r="I332" s="705"/>
      <c r="J332" s="705"/>
      <c r="K332" s="705"/>
      <c r="L332" s="706"/>
      <c r="M332" s="152"/>
      <c r="O332" s="154"/>
      <c r="P332" s="154"/>
    </row>
    <row r="333" spans="1:16" s="3" customFormat="1" x14ac:dyDescent="0.35">
      <c r="A333" s="12"/>
      <c r="B333" s="704"/>
      <c r="C333" s="705"/>
      <c r="D333" s="705"/>
      <c r="E333" s="705"/>
      <c r="F333" s="705"/>
      <c r="G333" s="705"/>
      <c r="H333" s="705"/>
      <c r="I333" s="705"/>
      <c r="J333" s="705"/>
      <c r="K333" s="705"/>
      <c r="L333" s="706"/>
      <c r="M333" s="152"/>
      <c r="O333" s="154"/>
      <c r="P333" s="154"/>
    </row>
    <row r="334" spans="1:16" s="3" customFormat="1" x14ac:dyDescent="0.35">
      <c r="A334" s="12"/>
      <c r="B334" s="704"/>
      <c r="C334" s="705"/>
      <c r="D334" s="705"/>
      <c r="E334" s="705"/>
      <c r="F334" s="705"/>
      <c r="G334" s="705"/>
      <c r="H334" s="705"/>
      <c r="I334" s="705"/>
      <c r="J334" s="705"/>
      <c r="K334" s="705"/>
      <c r="L334" s="706"/>
      <c r="M334" s="152"/>
      <c r="O334" s="154"/>
      <c r="P334" s="154"/>
    </row>
    <row r="335" spans="1:16" s="152" customFormat="1" x14ac:dyDescent="0.35">
      <c r="A335" s="172"/>
      <c r="B335" s="186"/>
      <c r="C335" s="187"/>
      <c r="D335" s="187"/>
      <c r="E335" s="187"/>
      <c r="F335" s="187"/>
      <c r="G335" s="187"/>
      <c r="H335" s="187"/>
      <c r="I335" s="187"/>
      <c r="J335" s="187"/>
      <c r="K335" s="187"/>
      <c r="L335" s="185"/>
      <c r="O335" s="9"/>
      <c r="P335" s="9"/>
    </row>
    <row r="336" spans="1:16" s="3" customFormat="1" x14ac:dyDescent="0.35">
      <c r="A336" s="12"/>
      <c r="B336" s="710" t="s">
        <v>309</v>
      </c>
      <c r="C336" s="711"/>
      <c r="D336" s="711"/>
      <c r="E336" s="711"/>
      <c r="F336" s="711"/>
      <c r="G336" s="711"/>
      <c r="H336" s="711"/>
      <c r="I336" s="711"/>
      <c r="J336" s="711"/>
      <c r="K336" s="711"/>
      <c r="L336" s="712"/>
      <c r="M336" s="167"/>
      <c r="O336" s="154"/>
      <c r="P336" s="154"/>
    </row>
    <row r="337" spans="1:16" s="152" customFormat="1" x14ac:dyDescent="0.35">
      <c r="A337" s="172"/>
      <c r="B337" s="184"/>
      <c r="C337" s="173"/>
      <c r="D337" s="173"/>
      <c r="E337" s="173"/>
      <c r="F337" s="173"/>
      <c r="G337" s="173"/>
      <c r="H337" s="173"/>
      <c r="I337" s="173"/>
      <c r="J337" s="173"/>
      <c r="K337" s="173"/>
      <c r="L337" s="174"/>
      <c r="O337" s="9"/>
      <c r="P337" s="9"/>
    </row>
    <row r="338" spans="1:16" s="152" customFormat="1" x14ac:dyDescent="0.35">
      <c r="A338" s="172"/>
      <c r="B338" s="608" t="str">
        <f>IF(Intro!$G$21="English",O338,P338)</f>
        <v>Comment votre entreprise favorise-t-elle les ventes des marchandises sur le marché canadien? Vos méthodes ont-elles changées depuis le 1er janvier 2023?</v>
      </c>
      <c r="C338" s="609"/>
      <c r="D338" s="609"/>
      <c r="E338" s="609"/>
      <c r="F338" s="609"/>
      <c r="G338" s="609"/>
      <c r="H338" s="609"/>
      <c r="I338" s="609"/>
      <c r="J338" s="609"/>
      <c r="K338" s="609"/>
      <c r="L338" s="610"/>
      <c r="O338" s="9" t="str">
        <f>"How does your firm promote sales of the goods in the Canadian market? Have these methods changed since January 1, "&amp;Variables!B6&amp;"?"</f>
        <v>How does your firm promote sales of the goods in the Canadian market? Have these methods changed since January 1, 2023?</v>
      </c>
      <c r="P338"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339" spans="1:16" s="152" customFormat="1" x14ac:dyDescent="0.35">
      <c r="A339" s="172"/>
      <c r="B339" s="608"/>
      <c r="C339" s="609"/>
      <c r="D339" s="609"/>
      <c r="E339" s="609"/>
      <c r="F339" s="609"/>
      <c r="G339" s="609"/>
      <c r="H339" s="609"/>
      <c r="I339" s="609"/>
      <c r="J339" s="609"/>
      <c r="K339" s="609"/>
      <c r="L339" s="610"/>
      <c r="O339" s="9"/>
      <c r="P339" s="9"/>
    </row>
    <row r="340" spans="1:16" s="152" customFormat="1" x14ac:dyDescent="0.35">
      <c r="A340" s="172"/>
      <c r="B340" s="184"/>
      <c r="C340" s="173"/>
      <c r="D340" s="173"/>
      <c r="E340" s="173"/>
      <c r="F340" s="173"/>
      <c r="G340" s="173"/>
      <c r="H340" s="173"/>
      <c r="I340" s="173"/>
      <c r="J340" s="173"/>
      <c r="K340" s="173"/>
      <c r="L340" s="174"/>
      <c r="O340" s="9"/>
      <c r="P340" s="9"/>
    </row>
    <row r="341" spans="1:16" s="3" customFormat="1" x14ac:dyDescent="0.35">
      <c r="A341" s="12"/>
      <c r="B341" s="704"/>
      <c r="C341" s="705"/>
      <c r="D341" s="705"/>
      <c r="E341" s="705"/>
      <c r="F341" s="705"/>
      <c r="G341" s="705"/>
      <c r="H341" s="705"/>
      <c r="I341" s="705"/>
      <c r="J341" s="705"/>
      <c r="K341" s="705"/>
      <c r="L341" s="706"/>
      <c r="M341" s="152"/>
      <c r="O341" s="154"/>
      <c r="P341" s="154"/>
    </row>
    <row r="342" spans="1:16" s="3" customFormat="1" x14ac:dyDescent="0.35">
      <c r="A342" s="12"/>
      <c r="B342" s="704"/>
      <c r="C342" s="705"/>
      <c r="D342" s="705"/>
      <c r="E342" s="705"/>
      <c r="F342" s="705"/>
      <c r="G342" s="705"/>
      <c r="H342" s="705"/>
      <c r="I342" s="705"/>
      <c r="J342" s="705"/>
      <c r="K342" s="705"/>
      <c r="L342" s="706"/>
      <c r="M342" s="152"/>
      <c r="O342" s="154"/>
      <c r="P342" s="154"/>
    </row>
    <row r="343" spans="1:16" s="3" customFormat="1" x14ac:dyDescent="0.35">
      <c r="A343" s="12"/>
      <c r="B343" s="704"/>
      <c r="C343" s="705"/>
      <c r="D343" s="705"/>
      <c r="E343" s="705"/>
      <c r="F343" s="705"/>
      <c r="G343" s="705"/>
      <c r="H343" s="705"/>
      <c r="I343" s="705"/>
      <c r="J343" s="705"/>
      <c r="K343" s="705"/>
      <c r="L343" s="706"/>
      <c r="M343" s="152"/>
      <c r="O343" s="154"/>
      <c r="P343" s="154"/>
    </row>
    <row r="344" spans="1:16" s="3" customFormat="1" x14ac:dyDescent="0.35">
      <c r="A344" s="12"/>
      <c r="B344" s="704"/>
      <c r="C344" s="705"/>
      <c r="D344" s="705"/>
      <c r="E344" s="705"/>
      <c r="F344" s="705"/>
      <c r="G344" s="705"/>
      <c r="H344" s="705"/>
      <c r="I344" s="705"/>
      <c r="J344" s="705"/>
      <c r="K344" s="705"/>
      <c r="L344" s="706"/>
      <c r="M344" s="152"/>
      <c r="O344" s="154"/>
      <c r="P344" s="154"/>
    </row>
    <row r="345" spans="1:16" s="3" customFormat="1" x14ac:dyDescent="0.35">
      <c r="A345" s="12"/>
      <c r="B345" s="704"/>
      <c r="C345" s="705"/>
      <c r="D345" s="705"/>
      <c r="E345" s="705"/>
      <c r="F345" s="705"/>
      <c r="G345" s="705"/>
      <c r="H345" s="705"/>
      <c r="I345" s="705"/>
      <c r="J345" s="705"/>
      <c r="K345" s="705"/>
      <c r="L345" s="706"/>
      <c r="M345" s="152"/>
      <c r="O345" s="154"/>
      <c r="P345" s="154"/>
    </row>
    <row r="346" spans="1:16" s="3" customFormat="1" x14ac:dyDescent="0.35">
      <c r="A346" s="12"/>
      <c r="B346" s="704"/>
      <c r="C346" s="705"/>
      <c r="D346" s="705"/>
      <c r="E346" s="705"/>
      <c r="F346" s="705"/>
      <c r="G346" s="705"/>
      <c r="H346" s="705"/>
      <c r="I346" s="705"/>
      <c r="J346" s="705"/>
      <c r="K346" s="705"/>
      <c r="L346" s="706"/>
      <c r="M346" s="152"/>
      <c r="O346" s="154"/>
      <c r="P346" s="154"/>
    </row>
    <row r="347" spans="1:16" s="3" customFormat="1" x14ac:dyDescent="0.35">
      <c r="A347" s="12"/>
      <c r="B347" s="704"/>
      <c r="C347" s="705"/>
      <c r="D347" s="705"/>
      <c r="E347" s="705"/>
      <c r="F347" s="705"/>
      <c r="G347" s="705"/>
      <c r="H347" s="705"/>
      <c r="I347" s="705"/>
      <c r="J347" s="705"/>
      <c r="K347" s="705"/>
      <c r="L347" s="706"/>
      <c r="M347" s="152"/>
      <c r="O347" s="154"/>
      <c r="P347" s="154"/>
    </row>
    <row r="348" spans="1:16" s="3" customFormat="1" x14ac:dyDescent="0.35">
      <c r="A348" s="12"/>
      <c r="B348" s="704"/>
      <c r="C348" s="705"/>
      <c r="D348" s="705"/>
      <c r="E348" s="705"/>
      <c r="F348" s="705"/>
      <c r="G348" s="705"/>
      <c r="H348" s="705"/>
      <c r="I348" s="705"/>
      <c r="J348" s="705"/>
      <c r="K348" s="705"/>
      <c r="L348" s="706"/>
      <c r="M348" s="152"/>
      <c r="O348" s="154"/>
      <c r="P348" s="154"/>
    </row>
    <row r="349" spans="1:16" s="152" customFormat="1" x14ac:dyDescent="0.35">
      <c r="A349" s="172"/>
      <c r="B349" s="186"/>
      <c r="C349" s="187"/>
      <c r="D349" s="187"/>
      <c r="E349" s="187"/>
      <c r="F349" s="187"/>
      <c r="G349" s="187"/>
      <c r="H349" s="187"/>
      <c r="I349" s="187"/>
      <c r="J349" s="187"/>
      <c r="K349" s="187"/>
      <c r="L349" s="185"/>
      <c r="O349" s="9"/>
      <c r="P349" s="9"/>
    </row>
    <row r="350" spans="1:16" s="3" customFormat="1" x14ac:dyDescent="0.35">
      <c r="A350" s="12"/>
      <c r="B350" s="710" t="s">
        <v>310</v>
      </c>
      <c r="C350" s="711"/>
      <c r="D350" s="711"/>
      <c r="E350" s="711"/>
      <c r="F350" s="711"/>
      <c r="G350" s="711"/>
      <c r="H350" s="711"/>
      <c r="I350" s="711"/>
      <c r="J350" s="711"/>
      <c r="K350" s="711"/>
      <c r="L350" s="712"/>
      <c r="M350" s="167"/>
      <c r="O350" s="154"/>
      <c r="P350" s="154"/>
    </row>
    <row r="351" spans="1:16" s="152" customFormat="1" x14ac:dyDescent="0.35">
      <c r="A351" s="172"/>
      <c r="B351" s="184"/>
      <c r="C351" s="173"/>
      <c r="D351" s="173"/>
      <c r="E351" s="173"/>
      <c r="F351" s="173"/>
      <c r="G351" s="173"/>
      <c r="H351" s="173"/>
      <c r="I351" s="173"/>
      <c r="J351" s="173"/>
      <c r="K351" s="173"/>
      <c r="L351" s="174"/>
      <c r="O351" s="9"/>
      <c r="P351" s="9"/>
    </row>
    <row r="352" spans="1:16" s="152" customFormat="1" x14ac:dyDescent="0.35">
      <c r="A352" s="172"/>
      <c r="B352" s="608" t="str">
        <f>IF(Intro!$G$21="English",O352,P352)</f>
        <v>Comment votre entreprise fixe-t-elle le prix des marchandises sur le marché canadien? Expliquez en détail les termes spécifiques à votre entreprise. Indiquez si ces pratiques générales de fixation des prix ont changé depuis le 1er janvier 2023.</v>
      </c>
      <c r="C352" s="609"/>
      <c r="D352" s="609"/>
      <c r="E352" s="609"/>
      <c r="F352" s="609"/>
      <c r="G352" s="609"/>
      <c r="H352" s="609"/>
      <c r="I352" s="609"/>
      <c r="J352" s="609"/>
      <c r="K352" s="609"/>
      <c r="L352" s="610"/>
      <c r="O352"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52"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row>
    <row r="353" spans="1:16" s="152" customFormat="1" x14ac:dyDescent="0.35">
      <c r="A353" s="172"/>
      <c r="B353" s="608"/>
      <c r="C353" s="609"/>
      <c r="D353" s="609"/>
      <c r="E353" s="609"/>
      <c r="F353" s="609"/>
      <c r="G353" s="609"/>
      <c r="H353" s="609"/>
      <c r="I353" s="609"/>
      <c r="J353" s="609"/>
      <c r="K353" s="609"/>
      <c r="L353" s="610"/>
      <c r="O353" s="9"/>
      <c r="P353" s="9"/>
    </row>
    <row r="354" spans="1:16" s="152" customFormat="1" x14ac:dyDescent="0.35">
      <c r="A354" s="172"/>
      <c r="B354" s="184"/>
      <c r="C354" s="173"/>
      <c r="D354" s="173"/>
      <c r="E354" s="173"/>
      <c r="F354" s="173"/>
      <c r="G354" s="173"/>
      <c r="H354" s="173"/>
      <c r="I354" s="173"/>
      <c r="J354" s="173"/>
      <c r="K354" s="173"/>
      <c r="L354" s="174"/>
      <c r="O354" s="9"/>
      <c r="P354" s="9"/>
    </row>
    <row r="355" spans="1:16" s="3" customFormat="1" x14ac:dyDescent="0.35">
      <c r="A355" s="12"/>
      <c r="B355" s="704"/>
      <c r="C355" s="705"/>
      <c r="D355" s="705"/>
      <c r="E355" s="705"/>
      <c r="F355" s="705"/>
      <c r="G355" s="705"/>
      <c r="H355" s="705"/>
      <c r="I355" s="705"/>
      <c r="J355" s="705"/>
      <c r="K355" s="705"/>
      <c r="L355" s="706"/>
      <c r="M355" s="152"/>
      <c r="O355" s="154"/>
      <c r="P355" s="154"/>
    </row>
    <row r="356" spans="1:16" s="3" customFormat="1" x14ac:dyDescent="0.35">
      <c r="A356" s="12"/>
      <c r="B356" s="704"/>
      <c r="C356" s="705"/>
      <c r="D356" s="705"/>
      <c r="E356" s="705"/>
      <c r="F356" s="705"/>
      <c r="G356" s="705"/>
      <c r="H356" s="705"/>
      <c r="I356" s="705"/>
      <c r="J356" s="705"/>
      <c r="K356" s="705"/>
      <c r="L356" s="706"/>
      <c r="M356" s="152"/>
      <c r="O356" s="154"/>
      <c r="P356" s="154"/>
    </row>
    <row r="357" spans="1:16" s="3" customFormat="1" x14ac:dyDescent="0.35">
      <c r="A357" s="12"/>
      <c r="B357" s="704"/>
      <c r="C357" s="705"/>
      <c r="D357" s="705"/>
      <c r="E357" s="705"/>
      <c r="F357" s="705"/>
      <c r="G357" s="705"/>
      <c r="H357" s="705"/>
      <c r="I357" s="705"/>
      <c r="J357" s="705"/>
      <c r="K357" s="705"/>
      <c r="L357" s="706"/>
      <c r="M357" s="152"/>
      <c r="O357" s="154"/>
      <c r="P357" s="154"/>
    </row>
    <row r="358" spans="1:16" s="3" customFormat="1" x14ac:dyDescent="0.35">
      <c r="A358" s="12"/>
      <c r="B358" s="704"/>
      <c r="C358" s="705"/>
      <c r="D358" s="705"/>
      <c r="E358" s="705"/>
      <c r="F358" s="705"/>
      <c r="G358" s="705"/>
      <c r="H358" s="705"/>
      <c r="I358" s="705"/>
      <c r="J358" s="705"/>
      <c r="K358" s="705"/>
      <c r="L358" s="706"/>
      <c r="M358" s="152"/>
      <c r="O358" s="154"/>
      <c r="P358" s="154"/>
    </row>
    <row r="359" spans="1:16" s="3" customFormat="1" x14ac:dyDescent="0.35">
      <c r="A359" s="12"/>
      <c r="B359" s="704"/>
      <c r="C359" s="705"/>
      <c r="D359" s="705"/>
      <c r="E359" s="705"/>
      <c r="F359" s="705"/>
      <c r="G359" s="705"/>
      <c r="H359" s="705"/>
      <c r="I359" s="705"/>
      <c r="J359" s="705"/>
      <c r="K359" s="705"/>
      <c r="L359" s="706"/>
      <c r="M359" s="152"/>
      <c r="O359" s="154"/>
      <c r="P359" s="154"/>
    </row>
    <row r="360" spans="1:16" s="3" customFormat="1" x14ac:dyDescent="0.35">
      <c r="A360" s="12"/>
      <c r="B360" s="704"/>
      <c r="C360" s="705"/>
      <c r="D360" s="705"/>
      <c r="E360" s="705"/>
      <c r="F360" s="705"/>
      <c r="G360" s="705"/>
      <c r="H360" s="705"/>
      <c r="I360" s="705"/>
      <c r="J360" s="705"/>
      <c r="K360" s="705"/>
      <c r="L360" s="706"/>
      <c r="M360" s="152"/>
      <c r="O360" s="154"/>
      <c r="P360" s="154"/>
    </row>
    <row r="361" spans="1:16" s="3" customFormat="1" x14ac:dyDescent="0.35">
      <c r="A361" s="12"/>
      <c r="B361" s="704"/>
      <c r="C361" s="705"/>
      <c r="D361" s="705"/>
      <c r="E361" s="705"/>
      <c r="F361" s="705"/>
      <c r="G361" s="705"/>
      <c r="H361" s="705"/>
      <c r="I361" s="705"/>
      <c r="J361" s="705"/>
      <c r="K361" s="705"/>
      <c r="L361" s="706"/>
      <c r="M361" s="152"/>
      <c r="O361" s="154"/>
      <c r="P361" s="154"/>
    </row>
    <row r="362" spans="1:16" s="3" customFormat="1" x14ac:dyDescent="0.35">
      <c r="A362" s="12"/>
      <c r="B362" s="704"/>
      <c r="C362" s="705"/>
      <c r="D362" s="705"/>
      <c r="E362" s="705"/>
      <c r="F362" s="705"/>
      <c r="G362" s="705"/>
      <c r="H362" s="705"/>
      <c r="I362" s="705"/>
      <c r="J362" s="705"/>
      <c r="K362" s="705"/>
      <c r="L362" s="706"/>
      <c r="M362" s="152"/>
      <c r="O362" s="154"/>
      <c r="P362" s="154"/>
    </row>
    <row r="363" spans="1:16" s="152" customFormat="1" x14ac:dyDescent="0.35">
      <c r="A363" s="172"/>
      <c r="B363" s="186"/>
      <c r="C363" s="187"/>
      <c r="D363" s="187"/>
      <c r="E363" s="187"/>
      <c r="F363" s="187"/>
      <c r="G363" s="187"/>
      <c r="H363" s="187"/>
      <c r="I363" s="187"/>
      <c r="J363" s="187"/>
      <c r="K363" s="187"/>
      <c r="L363" s="185"/>
      <c r="O363" s="9"/>
      <c r="P363" s="9"/>
    </row>
    <row r="364" spans="1:16" s="3" customFormat="1" x14ac:dyDescent="0.35">
      <c r="A364" s="12"/>
      <c r="B364" s="710" t="s">
        <v>311</v>
      </c>
      <c r="C364" s="711"/>
      <c r="D364" s="711"/>
      <c r="E364" s="711"/>
      <c r="F364" s="711"/>
      <c r="G364" s="711"/>
      <c r="H364" s="711"/>
      <c r="I364" s="711"/>
      <c r="J364" s="711"/>
      <c r="K364" s="711"/>
      <c r="L364" s="712"/>
      <c r="M364" s="167"/>
      <c r="O364" s="154"/>
      <c r="P364" s="154"/>
    </row>
    <row r="365" spans="1:16" s="152" customFormat="1" x14ac:dyDescent="0.35">
      <c r="A365" s="172"/>
      <c r="B365" s="184"/>
      <c r="C365" s="173"/>
      <c r="D365" s="173"/>
      <c r="E365" s="173"/>
      <c r="F365" s="173"/>
      <c r="G365" s="173"/>
      <c r="H365" s="173"/>
      <c r="I365" s="173"/>
      <c r="J365" s="173"/>
      <c r="K365" s="173"/>
      <c r="L365" s="174"/>
      <c r="O365" s="9"/>
      <c r="P365" s="9"/>
    </row>
    <row r="366" spans="1:16" s="152" customFormat="1" x14ac:dyDescent="0.35">
      <c r="A366" s="172"/>
      <c r="B366" s="608" t="str">
        <f>IF(Intro!$G$21="English",O366,P366)</f>
        <v>Fournissez des détails sur tous les facteurs autres que les coûts des matériaux (par exemple, les fluctuations du taux de change) qui ont affecté les prix des marchandises sur le marché canadien depuis le 1er janvier 2023.</v>
      </c>
      <c r="C366" s="609"/>
      <c r="D366" s="609"/>
      <c r="E366" s="609"/>
      <c r="F366" s="609"/>
      <c r="G366" s="609"/>
      <c r="H366" s="609"/>
      <c r="I366" s="609"/>
      <c r="J366" s="609"/>
      <c r="K366" s="609"/>
      <c r="L366" s="610"/>
      <c r="O366"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66"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367" spans="1:16" s="152" customFormat="1" x14ac:dyDescent="0.35">
      <c r="A367" s="172"/>
      <c r="B367" s="608"/>
      <c r="C367" s="609"/>
      <c r="D367" s="609"/>
      <c r="E367" s="609"/>
      <c r="F367" s="609"/>
      <c r="G367" s="609"/>
      <c r="H367" s="609"/>
      <c r="I367" s="609"/>
      <c r="J367" s="609"/>
      <c r="K367" s="609"/>
      <c r="L367" s="610"/>
      <c r="O367" s="9"/>
      <c r="P367" s="9"/>
    </row>
    <row r="368" spans="1:16" s="152" customFormat="1" x14ac:dyDescent="0.35">
      <c r="A368" s="172"/>
      <c r="B368" s="184"/>
      <c r="C368" s="173"/>
      <c r="D368" s="173"/>
      <c r="E368" s="173"/>
      <c r="F368" s="173"/>
      <c r="G368" s="173"/>
      <c r="H368" s="173"/>
      <c r="I368" s="173"/>
      <c r="J368" s="173"/>
      <c r="K368" s="173"/>
      <c r="L368" s="174"/>
      <c r="O368" s="9"/>
      <c r="P368" s="9"/>
    </row>
    <row r="369" spans="1:16" s="3" customFormat="1" x14ac:dyDescent="0.35">
      <c r="A369" s="12"/>
      <c r="B369" s="704"/>
      <c r="C369" s="705"/>
      <c r="D369" s="705"/>
      <c r="E369" s="705"/>
      <c r="F369" s="705"/>
      <c r="G369" s="705"/>
      <c r="H369" s="705"/>
      <c r="I369" s="705"/>
      <c r="J369" s="705"/>
      <c r="K369" s="705"/>
      <c r="L369" s="706"/>
      <c r="M369" s="152"/>
      <c r="O369" s="154"/>
      <c r="P369" s="154"/>
    </row>
    <row r="370" spans="1:16" s="3" customFormat="1" x14ac:dyDescent="0.35">
      <c r="A370" s="12"/>
      <c r="B370" s="704"/>
      <c r="C370" s="705"/>
      <c r="D370" s="705"/>
      <c r="E370" s="705"/>
      <c r="F370" s="705"/>
      <c r="G370" s="705"/>
      <c r="H370" s="705"/>
      <c r="I370" s="705"/>
      <c r="J370" s="705"/>
      <c r="K370" s="705"/>
      <c r="L370" s="706"/>
      <c r="M370" s="152"/>
      <c r="O370" s="154"/>
      <c r="P370" s="154"/>
    </row>
    <row r="371" spans="1:16" s="3" customFormat="1" x14ac:dyDescent="0.35">
      <c r="A371" s="12"/>
      <c r="B371" s="704"/>
      <c r="C371" s="705"/>
      <c r="D371" s="705"/>
      <c r="E371" s="705"/>
      <c r="F371" s="705"/>
      <c r="G371" s="705"/>
      <c r="H371" s="705"/>
      <c r="I371" s="705"/>
      <c r="J371" s="705"/>
      <c r="K371" s="705"/>
      <c r="L371" s="706"/>
      <c r="M371" s="152"/>
      <c r="O371" s="154"/>
      <c r="P371" s="154"/>
    </row>
    <row r="372" spans="1:16" s="3" customFormat="1" x14ac:dyDescent="0.35">
      <c r="A372" s="12"/>
      <c r="B372" s="704"/>
      <c r="C372" s="705"/>
      <c r="D372" s="705"/>
      <c r="E372" s="705"/>
      <c r="F372" s="705"/>
      <c r="G372" s="705"/>
      <c r="H372" s="705"/>
      <c r="I372" s="705"/>
      <c r="J372" s="705"/>
      <c r="K372" s="705"/>
      <c r="L372" s="706"/>
      <c r="M372" s="152"/>
      <c r="O372" s="154"/>
      <c r="P372" s="154"/>
    </row>
    <row r="373" spans="1:16" s="3" customFormat="1" x14ac:dyDescent="0.35">
      <c r="A373" s="12"/>
      <c r="B373" s="704"/>
      <c r="C373" s="705"/>
      <c r="D373" s="705"/>
      <c r="E373" s="705"/>
      <c r="F373" s="705"/>
      <c r="G373" s="705"/>
      <c r="H373" s="705"/>
      <c r="I373" s="705"/>
      <c r="J373" s="705"/>
      <c r="K373" s="705"/>
      <c r="L373" s="706"/>
      <c r="M373" s="152"/>
      <c r="O373" s="154"/>
      <c r="P373" s="154"/>
    </row>
    <row r="374" spans="1:16" s="3" customFormat="1" x14ac:dyDescent="0.35">
      <c r="A374" s="12"/>
      <c r="B374" s="704"/>
      <c r="C374" s="705"/>
      <c r="D374" s="705"/>
      <c r="E374" s="705"/>
      <c r="F374" s="705"/>
      <c r="G374" s="705"/>
      <c r="H374" s="705"/>
      <c r="I374" s="705"/>
      <c r="J374" s="705"/>
      <c r="K374" s="705"/>
      <c r="L374" s="706"/>
      <c r="M374" s="152"/>
      <c r="O374" s="154"/>
      <c r="P374" s="154"/>
    </row>
    <row r="375" spans="1:16" s="3" customFormat="1" x14ac:dyDescent="0.35">
      <c r="A375" s="12"/>
      <c r="B375" s="704"/>
      <c r="C375" s="705"/>
      <c r="D375" s="705"/>
      <c r="E375" s="705"/>
      <c r="F375" s="705"/>
      <c r="G375" s="705"/>
      <c r="H375" s="705"/>
      <c r="I375" s="705"/>
      <c r="J375" s="705"/>
      <c r="K375" s="705"/>
      <c r="L375" s="706"/>
      <c r="M375" s="152"/>
      <c r="O375" s="154"/>
      <c r="P375" s="154"/>
    </row>
    <row r="376" spans="1:16" s="3" customFormat="1" x14ac:dyDescent="0.35">
      <c r="A376" s="12"/>
      <c r="B376" s="704"/>
      <c r="C376" s="705"/>
      <c r="D376" s="705"/>
      <c r="E376" s="705"/>
      <c r="F376" s="705"/>
      <c r="G376" s="705"/>
      <c r="H376" s="705"/>
      <c r="I376" s="705"/>
      <c r="J376" s="705"/>
      <c r="K376" s="705"/>
      <c r="L376" s="706"/>
      <c r="M376" s="152"/>
      <c r="O376" s="154"/>
      <c r="P376" s="154"/>
    </row>
    <row r="377" spans="1:16" s="152" customFormat="1" x14ac:dyDescent="0.35">
      <c r="A377" s="172"/>
      <c r="B377" s="186"/>
      <c r="C377" s="187"/>
      <c r="D377" s="187"/>
      <c r="E377" s="187"/>
      <c r="F377" s="187"/>
      <c r="G377" s="187"/>
      <c r="H377" s="187"/>
      <c r="I377" s="187"/>
      <c r="J377" s="187"/>
      <c r="K377" s="187"/>
      <c r="L377" s="185"/>
      <c r="O377" s="9"/>
      <c r="P377" s="9"/>
    </row>
    <row r="378" spans="1:16" s="3" customFormat="1" x14ac:dyDescent="0.35">
      <c r="A378" s="12"/>
      <c r="B378" s="710" t="s">
        <v>312</v>
      </c>
      <c r="C378" s="711"/>
      <c r="D378" s="711"/>
      <c r="E378" s="711"/>
      <c r="F378" s="711"/>
      <c r="G378" s="711"/>
      <c r="H378" s="711"/>
      <c r="I378" s="711"/>
      <c r="J378" s="711"/>
      <c r="K378" s="711"/>
      <c r="L378" s="712"/>
      <c r="M378" s="167"/>
      <c r="O378" s="154"/>
      <c r="P378" s="154"/>
    </row>
    <row r="379" spans="1:16" s="152" customFormat="1" x14ac:dyDescent="0.35">
      <c r="A379" s="172"/>
      <c r="B379" s="184"/>
      <c r="C379" s="173"/>
      <c r="D379" s="173"/>
      <c r="E379" s="173"/>
      <c r="F379" s="173"/>
      <c r="G379" s="173"/>
      <c r="H379" s="173"/>
      <c r="I379" s="173"/>
      <c r="J379" s="173"/>
      <c r="K379" s="173"/>
      <c r="L379" s="174"/>
      <c r="O379" s="9"/>
      <c r="P379" s="9"/>
    </row>
    <row r="380" spans="1:16" s="152" customFormat="1" x14ac:dyDescent="0.35">
      <c r="A380" s="172"/>
      <c r="B380" s="707" t="str">
        <f>IF(Intro!$G$21="English",O380,P380)</f>
        <v>Décrivez comment les coûts de livraison des marchandises vendues par votre entreprise sont payés.</v>
      </c>
      <c r="C380" s="708"/>
      <c r="D380" s="708"/>
      <c r="E380" s="708"/>
      <c r="F380" s="708"/>
      <c r="G380" s="708"/>
      <c r="H380" s="708"/>
      <c r="I380" s="708"/>
      <c r="J380" s="708"/>
      <c r="K380" s="708"/>
      <c r="L380" s="709"/>
      <c r="O380" s="9" t="s">
        <v>289</v>
      </c>
      <c r="P380" s="9" t="s">
        <v>405</v>
      </c>
    </row>
    <row r="381" spans="1:16" s="152" customFormat="1" x14ac:dyDescent="0.35">
      <c r="A381" s="172"/>
      <c r="B381" s="184"/>
      <c r="C381" s="173"/>
      <c r="D381" s="173"/>
      <c r="E381" s="173"/>
      <c r="F381" s="173"/>
      <c r="G381" s="173"/>
      <c r="H381" s="264" t="str">
        <f>IF(Intro!$G$21="English",O381,P381)</f>
        <v>Sélectionnez toutes les réponses qui s'appliquent</v>
      </c>
      <c r="I381" s="173"/>
      <c r="J381" s="173"/>
      <c r="K381" s="173"/>
      <c r="L381" s="174"/>
      <c r="O381" s="2" t="s">
        <v>760</v>
      </c>
      <c r="P381" s="2" t="s">
        <v>761</v>
      </c>
    </row>
    <row r="382" spans="1:16" x14ac:dyDescent="0.35">
      <c r="B382" s="738" t="str">
        <f>IF(Intro!$G$21="English",O382,P382)</f>
        <v>Votre entreprise s'occupe de la livraison et les frais de livraison sont inclus dans le prix de vente.</v>
      </c>
      <c r="C382" s="739"/>
      <c r="D382" s="739"/>
      <c r="E382" s="739"/>
      <c r="F382" s="739"/>
      <c r="G382" s="740"/>
      <c r="H382" s="207"/>
      <c r="I382" s="173"/>
      <c r="J382" s="173"/>
      <c r="K382" s="173"/>
      <c r="L382" s="174"/>
      <c r="M382" s="2"/>
      <c r="O382" s="9" t="s">
        <v>684</v>
      </c>
      <c r="P382" s="9" t="s">
        <v>689</v>
      </c>
    </row>
    <row r="383" spans="1:16" x14ac:dyDescent="0.35">
      <c r="B383" s="738" t="str">
        <f>IF(Intro!$G$21="English",O383,P383)</f>
        <v>Votre entreprise s'occupe de la livraison mais les frais de livraison sont facturés séparément à l’acheteur.</v>
      </c>
      <c r="C383" s="739"/>
      <c r="D383" s="739"/>
      <c r="E383" s="739"/>
      <c r="F383" s="739"/>
      <c r="G383" s="740"/>
      <c r="H383" s="207"/>
      <c r="I383" s="173"/>
      <c r="J383" s="173"/>
      <c r="K383" s="173"/>
      <c r="L383" s="174"/>
      <c r="M383" s="2"/>
      <c r="O383" s="9" t="s">
        <v>686</v>
      </c>
      <c r="P383" s="9" t="s">
        <v>688</v>
      </c>
    </row>
    <row r="384" spans="1:16" ht="14.25" customHeight="1" x14ac:dyDescent="0.35">
      <c r="B384" s="738" t="str">
        <f>IF(Intro!$G$21="English",O384,P384)</f>
        <v>La livraison et ses frais sont pris en charge par l’acheteur.</v>
      </c>
      <c r="C384" s="739"/>
      <c r="D384" s="739"/>
      <c r="E384" s="739"/>
      <c r="F384" s="739"/>
      <c r="G384" s="740"/>
      <c r="H384" s="207"/>
      <c r="I384" s="173"/>
      <c r="J384" s="173"/>
      <c r="K384" s="173"/>
      <c r="L384" s="174"/>
      <c r="M384" s="2"/>
      <c r="O384" s="9" t="s">
        <v>685</v>
      </c>
      <c r="P384" s="9" t="s">
        <v>687</v>
      </c>
    </row>
    <row r="385" spans="1:16" s="152" customFormat="1" x14ac:dyDescent="0.35">
      <c r="A385" s="172"/>
      <c r="B385" s="184"/>
      <c r="C385" s="173"/>
      <c r="D385" s="173"/>
      <c r="E385" s="173"/>
      <c r="F385" s="173"/>
      <c r="G385" s="173"/>
      <c r="H385" s="173"/>
      <c r="I385" s="173"/>
      <c r="J385" s="173"/>
      <c r="K385" s="173"/>
      <c r="L385" s="174"/>
      <c r="O385" s="9"/>
      <c r="P385" s="9"/>
    </row>
    <row r="386" spans="1:16" s="152" customFormat="1" x14ac:dyDescent="0.35">
      <c r="A386" s="172"/>
      <c r="B386" s="707" t="str">
        <f>IF(Intro!$G$21="English",O386,P386)</f>
        <v>Expliquez si le mode de paiement de la livraison des marchandises vendues par votre entreprise a changé depuis le 1er janvier 2023.</v>
      </c>
      <c r="C386" s="708"/>
      <c r="D386" s="708"/>
      <c r="E386" s="708"/>
      <c r="F386" s="708"/>
      <c r="G386" s="708"/>
      <c r="H386" s="708"/>
      <c r="I386" s="708"/>
      <c r="J386" s="708"/>
      <c r="K386" s="708"/>
      <c r="L386" s="709"/>
      <c r="O386" s="9" t="str">
        <f>"Explain if the method of paying for delivery of the goods sold by your firm has changed since January 1, "&amp;Variables!B6&amp;"."</f>
        <v>Explain if the method of paying for delivery of the goods sold by your firm has changed since January 1, 2023.</v>
      </c>
      <c r="P386"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387" spans="1:16" s="152" customFormat="1" x14ac:dyDescent="0.35">
      <c r="A387" s="172"/>
      <c r="B387" s="184"/>
      <c r="C387" s="173"/>
      <c r="D387" s="173"/>
      <c r="E387" s="173"/>
      <c r="F387" s="173"/>
      <c r="G387" s="173"/>
      <c r="H387" s="173"/>
      <c r="I387" s="173"/>
      <c r="J387" s="173"/>
      <c r="K387" s="173"/>
      <c r="L387" s="174"/>
      <c r="O387" s="9"/>
      <c r="P387" s="9"/>
    </row>
    <row r="388" spans="1:16" s="3" customFormat="1" x14ac:dyDescent="0.35">
      <c r="A388" s="12"/>
      <c r="B388" s="704"/>
      <c r="C388" s="705"/>
      <c r="D388" s="705"/>
      <c r="E388" s="705"/>
      <c r="F388" s="705"/>
      <c r="G388" s="705"/>
      <c r="H388" s="705"/>
      <c r="I388" s="705"/>
      <c r="J388" s="705"/>
      <c r="K388" s="705"/>
      <c r="L388" s="706"/>
      <c r="M388" s="152"/>
      <c r="O388" s="154"/>
      <c r="P388" s="154"/>
    </row>
    <row r="389" spans="1:16" s="3" customFormat="1" x14ac:dyDescent="0.35">
      <c r="A389" s="12"/>
      <c r="B389" s="704"/>
      <c r="C389" s="705"/>
      <c r="D389" s="705"/>
      <c r="E389" s="705"/>
      <c r="F389" s="705"/>
      <c r="G389" s="705"/>
      <c r="H389" s="705"/>
      <c r="I389" s="705"/>
      <c r="J389" s="705"/>
      <c r="K389" s="705"/>
      <c r="L389" s="706"/>
      <c r="M389" s="152"/>
      <c r="O389" s="154"/>
      <c r="P389" s="154"/>
    </row>
    <row r="390" spans="1:16" s="3" customFormat="1" x14ac:dyDescent="0.35">
      <c r="A390" s="12"/>
      <c r="B390" s="704"/>
      <c r="C390" s="705"/>
      <c r="D390" s="705"/>
      <c r="E390" s="705"/>
      <c r="F390" s="705"/>
      <c r="G390" s="705"/>
      <c r="H390" s="705"/>
      <c r="I390" s="705"/>
      <c r="J390" s="705"/>
      <c r="K390" s="705"/>
      <c r="L390" s="706"/>
      <c r="M390" s="152"/>
      <c r="O390" s="154"/>
      <c r="P390" s="154"/>
    </row>
    <row r="391" spans="1:16" s="3" customFormat="1" x14ac:dyDescent="0.35">
      <c r="A391" s="12"/>
      <c r="B391" s="704"/>
      <c r="C391" s="705"/>
      <c r="D391" s="705"/>
      <c r="E391" s="705"/>
      <c r="F391" s="705"/>
      <c r="G391" s="705"/>
      <c r="H391" s="705"/>
      <c r="I391" s="705"/>
      <c r="J391" s="705"/>
      <c r="K391" s="705"/>
      <c r="L391" s="706"/>
      <c r="M391" s="152"/>
      <c r="O391" s="154"/>
      <c r="P391" s="154"/>
    </row>
    <row r="392" spans="1:16" s="3" customFormat="1" x14ac:dyDescent="0.35">
      <c r="A392" s="12"/>
      <c r="B392" s="704"/>
      <c r="C392" s="705"/>
      <c r="D392" s="705"/>
      <c r="E392" s="705"/>
      <c r="F392" s="705"/>
      <c r="G392" s="705"/>
      <c r="H392" s="705"/>
      <c r="I392" s="705"/>
      <c r="J392" s="705"/>
      <c r="K392" s="705"/>
      <c r="L392" s="706"/>
      <c r="M392" s="152"/>
      <c r="O392" s="154"/>
      <c r="P392" s="154"/>
    </row>
    <row r="393" spans="1:16" s="3" customFormat="1" x14ac:dyDescent="0.35">
      <c r="A393" s="12"/>
      <c r="B393" s="704"/>
      <c r="C393" s="705"/>
      <c r="D393" s="705"/>
      <c r="E393" s="705"/>
      <c r="F393" s="705"/>
      <c r="G393" s="705"/>
      <c r="H393" s="705"/>
      <c r="I393" s="705"/>
      <c r="J393" s="705"/>
      <c r="K393" s="705"/>
      <c r="L393" s="706"/>
      <c r="M393" s="152"/>
      <c r="O393" s="154"/>
      <c r="P393" s="154"/>
    </row>
    <row r="394" spans="1:16" s="3" customFormat="1" x14ac:dyDescent="0.35">
      <c r="A394" s="12"/>
      <c r="B394" s="704"/>
      <c r="C394" s="705"/>
      <c r="D394" s="705"/>
      <c r="E394" s="705"/>
      <c r="F394" s="705"/>
      <c r="G394" s="705"/>
      <c r="H394" s="705"/>
      <c r="I394" s="705"/>
      <c r="J394" s="705"/>
      <c r="K394" s="705"/>
      <c r="L394" s="706"/>
      <c r="M394" s="152"/>
      <c r="O394" s="154"/>
      <c r="P394" s="154"/>
    </row>
    <row r="395" spans="1:16" s="3" customFormat="1" x14ac:dyDescent="0.35">
      <c r="A395" s="12"/>
      <c r="B395" s="704"/>
      <c r="C395" s="705"/>
      <c r="D395" s="705"/>
      <c r="E395" s="705"/>
      <c r="F395" s="705"/>
      <c r="G395" s="705"/>
      <c r="H395" s="705"/>
      <c r="I395" s="705"/>
      <c r="J395" s="705"/>
      <c r="K395" s="705"/>
      <c r="L395" s="706"/>
      <c r="M395" s="152"/>
      <c r="O395" s="154"/>
      <c r="P395" s="154"/>
    </row>
    <row r="396" spans="1:16" s="152" customFormat="1" x14ac:dyDescent="0.35">
      <c r="A396" s="172"/>
      <c r="B396" s="186"/>
      <c r="C396" s="187"/>
      <c r="D396" s="187"/>
      <c r="E396" s="187"/>
      <c r="F396" s="187"/>
      <c r="G396" s="187"/>
      <c r="H396" s="187"/>
      <c r="I396" s="187"/>
      <c r="J396" s="187"/>
      <c r="K396" s="187"/>
      <c r="L396" s="185"/>
      <c r="O396" s="9"/>
      <c r="P396" s="9"/>
    </row>
    <row r="397" spans="1:16" s="3" customFormat="1" x14ac:dyDescent="0.35">
      <c r="A397" s="12"/>
      <c r="B397" s="710" t="s">
        <v>313</v>
      </c>
      <c r="C397" s="711"/>
      <c r="D397" s="711"/>
      <c r="E397" s="711"/>
      <c r="F397" s="711"/>
      <c r="G397" s="711"/>
      <c r="H397" s="711"/>
      <c r="I397" s="711"/>
      <c r="J397" s="711"/>
      <c r="K397" s="711"/>
      <c r="L397" s="712"/>
      <c r="M397" s="167"/>
      <c r="O397" s="154"/>
      <c r="P397" s="154"/>
    </row>
    <row r="398" spans="1:16" s="152" customFormat="1" x14ac:dyDescent="0.35">
      <c r="A398" s="172"/>
      <c r="B398" s="184"/>
      <c r="C398" s="173"/>
      <c r="D398" s="173"/>
      <c r="E398" s="173"/>
      <c r="F398" s="173"/>
      <c r="G398" s="173"/>
      <c r="H398" s="173"/>
      <c r="I398" s="173"/>
      <c r="J398" s="173"/>
      <c r="K398" s="173"/>
      <c r="L398" s="174"/>
      <c r="O398" s="9"/>
      <c r="P398" s="9"/>
    </row>
    <row r="399" spans="1:16" s="152" customFormat="1" x14ac:dyDescent="0.35">
      <c r="A399" s="172"/>
      <c r="B399" s="707" t="str">
        <f>IF(Intro!$G$21="English",O399,P399)</f>
        <v>Expliquez si la demande pour les marchandises ou les ventes de marchandises ont changé depuis le 1er janvier 2023.</v>
      </c>
      <c r="C399" s="708"/>
      <c r="D399" s="708"/>
      <c r="E399" s="708"/>
      <c r="F399" s="708"/>
      <c r="G399" s="708"/>
      <c r="H399" s="708"/>
      <c r="I399" s="708"/>
      <c r="J399" s="708"/>
      <c r="K399" s="708"/>
      <c r="L399" s="709"/>
      <c r="O399" s="9" t="str">
        <f>"Explain if demand for the goods or sales of the goods have changed since January 1, "&amp;Variables!B6&amp;"."</f>
        <v>Explain if demand for the goods or sales of the goods have changed since January 1, 2023.</v>
      </c>
      <c r="P399" s="9" t="str">
        <f>"Expliquez si la demande pour les marchandises ou les ventes de marchandises ont changé depuis le 1er janvier "&amp;Variables!B6&amp;"."</f>
        <v>Expliquez si la demande pour les marchandises ou les ventes de marchandises ont changé depuis le 1er janvier 2023.</v>
      </c>
    </row>
    <row r="400" spans="1:16" s="152" customFormat="1" x14ac:dyDescent="0.35">
      <c r="A400" s="172"/>
      <c r="B400" s="184"/>
      <c r="C400" s="173"/>
      <c r="D400" s="173"/>
      <c r="E400" s="173"/>
      <c r="F400" s="173"/>
      <c r="G400" s="173"/>
      <c r="H400" s="173"/>
      <c r="I400" s="173"/>
      <c r="J400" s="173"/>
      <c r="K400" s="173"/>
      <c r="L400" s="174"/>
      <c r="O400" s="9"/>
      <c r="P400" s="9"/>
    </row>
    <row r="401" spans="1:16" s="3" customFormat="1" x14ac:dyDescent="0.35">
      <c r="A401" s="12"/>
      <c r="B401" s="704"/>
      <c r="C401" s="705"/>
      <c r="D401" s="705"/>
      <c r="E401" s="705"/>
      <c r="F401" s="705"/>
      <c r="G401" s="705"/>
      <c r="H401" s="705"/>
      <c r="I401" s="705"/>
      <c r="J401" s="705"/>
      <c r="K401" s="705"/>
      <c r="L401" s="706"/>
      <c r="M401" s="152"/>
      <c r="O401" s="154"/>
      <c r="P401" s="154"/>
    </row>
    <row r="402" spans="1:16" s="3" customFormat="1" x14ac:dyDescent="0.35">
      <c r="A402" s="12"/>
      <c r="B402" s="704"/>
      <c r="C402" s="705"/>
      <c r="D402" s="705"/>
      <c r="E402" s="705"/>
      <c r="F402" s="705"/>
      <c r="G402" s="705"/>
      <c r="H402" s="705"/>
      <c r="I402" s="705"/>
      <c r="J402" s="705"/>
      <c r="K402" s="705"/>
      <c r="L402" s="706"/>
      <c r="M402" s="152"/>
      <c r="O402" s="154"/>
      <c r="P402" s="154"/>
    </row>
    <row r="403" spans="1:16" s="3" customFormat="1" x14ac:dyDescent="0.35">
      <c r="A403" s="12"/>
      <c r="B403" s="704"/>
      <c r="C403" s="705"/>
      <c r="D403" s="705"/>
      <c r="E403" s="705"/>
      <c r="F403" s="705"/>
      <c r="G403" s="705"/>
      <c r="H403" s="705"/>
      <c r="I403" s="705"/>
      <c r="J403" s="705"/>
      <c r="K403" s="705"/>
      <c r="L403" s="706"/>
      <c r="M403" s="152"/>
      <c r="O403" s="154"/>
      <c r="P403" s="154"/>
    </row>
    <row r="404" spans="1:16" s="3" customFormat="1" x14ac:dyDescent="0.35">
      <c r="A404" s="12"/>
      <c r="B404" s="704"/>
      <c r="C404" s="705"/>
      <c r="D404" s="705"/>
      <c r="E404" s="705"/>
      <c r="F404" s="705"/>
      <c r="G404" s="705"/>
      <c r="H404" s="705"/>
      <c r="I404" s="705"/>
      <c r="J404" s="705"/>
      <c r="K404" s="705"/>
      <c r="L404" s="706"/>
      <c r="M404" s="152"/>
      <c r="O404" s="154"/>
      <c r="P404" s="154"/>
    </row>
    <row r="405" spans="1:16" s="3" customFormat="1" x14ac:dyDescent="0.35">
      <c r="A405" s="12"/>
      <c r="B405" s="704"/>
      <c r="C405" s="705"/>
      <c r="D405" s="705"/>
      <c r="E405" s="705"/>
      <c r="F405" s="705"/>
      <c r="G405" s="705"/>
      <c r="H405" s="705"/>
      <c r="I405" s="705"/>
      <c r="J405" s="705"/>
      <c r="K405" s="705"/>
      <c r="L405" s="706"/>
      <c r="M405" s="152"/>
      <c r="O405" s="154"/>
      <c r="P405" s="154"/>
    </row>
    <row r="406" spans="1:16" s="3" customFormat="1" x14ac:dyDescent="0.35">
      <c r="A406" s="12"/>
      <c r="B406" s="704"/>
      <c r="C406" s="705"/>
      <c r="D406" s="705"/>
      <c r="E406" s="705"/>
      <c r="F406" s="705"/>
      <c r="G406" s="705"/>
      <c r="H406" s="705"/>
      <c r="I406" s="705"/>
      <c r="J406" s="705"/>
      <c r="K406" s="705"/>
      <c r="L406" s="706"/>
      <c r="M406" s="152"/>
      <c r="O406" s="154"/>
      <c r="P406" s="154"/>
    </row>
    <row r="407" spans="1:16" s="3" customFormat="1" x14ac:dyDescent="0.35">
      <c r="A407" s="12"/>
      <c r="B407" s="704"/>
      <c r="C407" s="705"/>
      <c r="D407" s="705"/>
      <c r="E407" s="705"/>
      <c r="F407" s="705"/>
      <c r="G407" s="705"/>
      <c r="H407" s="705"/>
      <c r="I407" s="705"/>
      <c r="J407" s="705"/>
      <c r="K407" s="705"/>
      <c r="L407" s="706"/>
      <c r="M407" s="152"/>
      <c r="O407" s="154"/>
      <c r="P407" s="154"/>
    </row>
    <row r="408" spans="1:16" s="3" customFormat="1" x14ac:dyDescent="0.35">
      <c r="A408" s="12"/>
      <c r="B408" s="704"/>
      <c r="C408" s="705"/>
      <c r="D408" s="705"/>
      <c r="E408" s="705"/>
      <c r="F408" s="705"/>
      <c r="G408" s="705"/>
      <c r="H408" s="705"/>
      <c r="I408" s="705"/>
      <c r="J408" s="705"/>
      <c r="K408" s="705"/>
      <c r="L408" s="706"/>
      <c r="M408" s="152"/>
      <c r="O408" s="154"/>
      <c r="P408" s="154"/>
    </row>
    <row r="409" spans="1:16" s="152" customFormat="1" x14ac:dyDescent="0.35">
      <c r="A409" s="172"/>
      <c r="B409" s="186"/>
      <c r="C409" s="187"/>
      <c r="D409" s="187"/>
      <c r="E409" s="187"/>
      <c r="F409" s="187"/>
      <c r="G409" s="187"/>
      <c r="H409" s="187"/>
      <c r="I409" s="187"/>
      <c r="J409" s="187"/>
      <c r="K409" s="187"/>
      <c r="L409" s="185"/>
      <c r="O409" s="9"/>
      <c r="P409" s="9"/>
    </row>
    <row r="411" spans="1:16" x14ac:dyDescent="0.35">
      <c r="B411" s="599" t="str">
        <f>IF(Intro!$G$21="English",O411,P411)</f>
        <v>MARCHÉS</v>
      </c>
      <c r="C411" s="600"/>
      <c r="D411" s="600"/>
      <c r="E411" s="600"/>
      <c r="F411" s="600"/>
      <c r="G411" s="600"/>
      <c r="H411" s="600"/>
      <c r="I411" s="600"/>
      <c r="J411" s="600"/>
      <c r="K411" s="600"/>
      <c r="L411" s="601"/>
      <c r="M411" s="152"/>
      <c r="O411" s="198" t="s">
        <v>643</v>
      </c>
      <c r="P411" s="198" t="s">
        <v>644</v>
      </c>
    </row>
    <row r="412" spans="1:16" x14ac:dyDescent="0.35">
      <c r="B412" s="728" t="s">
        <v>328</v>
      </c>
      <c r="C412" s="729"/>
      <c r="D412" s="729"/>
      <c r="E412" s="729"/>
      <c r="F412" s="729"/>
      <c r="G412" s="729"/>
      <c r="H412" s="729"/>
      <c r="I412" s="729"/>
      <c r="J412" s="729"/>
      <c r="K412" s="729"/>
      <c r="L412" s="730"/>
      <c r="M412" s="2"/>
    </row>
    <row r="413" spans="1:16" x14ac:dyDescent="0.35">
      <c r="B413" s="24"/>
      <c r="C413" s="25"/>
      <c r="D413" s="25"/>
      <c r="E413" s="26"/>
      <c r="F413" s="26"/>
      <c r="G413" s="26"/>
      <c r="H413" s="26"/>
      <c r="I413" s="26"/>
      <c r="J413" s="26"/>
      <c r="K413" s="26"/>
      <c r="L413" s="27"/>
      <c r="M413" s="2"/>
    </row>
    <row r="414" spans="1:16" x14ac:dyDescent="0.35">
      <c r="B414" s="602" t="str">
        <f>IF(Intro!$G$21="English",O414,P414)</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c r="C414" s="603"/>
      <c r="D414" s="603"/>
      <c r="E414" s="603"/>
      <c r="F414" s="603"/>
      <c r="G414" s="603"/>
      <c r="H414" s="603"/>
      <c r="I414" s="603"/>
      <c r="J414" s="603"/>
      <c r="K414" s="603"/>
      <c r="L414" s="604"/>
      <c r="M414" s="2"/>
      <c r="O414" s="155"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414"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415" spans="1:16" x14ac:dyDescent="0.35">
      <c r="B415" s="602"/>
      <c r="C415" s="603"/>
      <c r="D415" s="603"/>
      <c r="E415" s="603"/>
      <c r="F415" s="603"/>
      <c r="G415" s="603"/>
      <c r="H415" s="603"/>
      <c r="I415" s="603"/>
      <c r="J415" s="603"/>
      <c r="K415" s="603"/>
      <c r="L415" s="604"/>
      <c r="M415" s="2"/>
      <c r="O415" s="155"/>
    </row>
    <row r="416" spans="1:16" s="152" customFormat="1" x14ac:dyDescent="0.35">
      <c r="A416" s="172"/>
      <c r="B416" s="184"/>
      <c r="C416" s="173"/>
      <c r="D416" s="173"/>
      <c r="E416" s="173"/>
      <c r="F416" s="173"/>
      <c r="G416" s="173"/>
      <c r="H416" s="173"/>
      <c r="I416" s="173"/>
      <c r="J416" s="173"/>
      <c r="K416" s="173"/>
      <c r="L416" s="174"/>
      <c r="O416" s="9"/>
      <c r="P416" s="9"/>
    </row>
    <row r="417" spans="1:16" s="3" customFormat="1" x14ac:dyDescent="0.35">
      <c r="A417" s="12"/>
      <c r="B417" s="704"/>
      <c r="C417" s="705"/>
      <c r="D417" s="705"/>
      <c r="E417" s="705"/>
      <c r="F417" s="705"/>
      <c r="G417" s="705"/>
      <c r="H417" s="705"/>
      <c r="I417" s="705"/>
      <c r="J417" s="705"/>
      <c r="K417" s="705"/>
      <c r="L417" s="706"/>
      <c r="M417" s="152"/>
      <c r="O417" s="154"/>
      <c r="P417" s="154"/>
    </row>
    <row r="418" spans="1:16" s="3" customFormat="1" x14ac:dyDescent="0.35">
      <c r="A418" s="12"/>
      <c r="B418" s="704"/>
      <c r="C418" s="705"/>
      <c r="D418" s="705"/>
      <c r="E418" s="705"/>
      <c r="F418" s="705"/>
      <c r="G418" s="705"/>
      <c r="H418" s="705"/>
      <c r="I418" s="705"/>
      <c r="J418" s="705"/>
      <c r="K418" s="705"/>
      <c r="L418" s="706"/>
      <c r="M418" s="152"/>
      <c r="O418" s="154"/>
      <c r="P418" s="154"/>
    </row>
    <row r="419" spans="1:16" s="3" customFormat="1" x14ac:dyDescent="0.35">
      <c r="A419" s="12"/>
      <c r="B419" s="704"/>
      <c r="C419" s="705"/>
      <c r="D419" s="705"/>
      <c r="E419" s="705"/>
      <c r="F419" s="705"/>
      <c r="G419" s="705"/>
      <c r="H419" s="705"/>
      <c r="I419" s="705"/>
      <c r="J419" s="705"/>
      <c r="K419" s="705"/>
      <c r="L419" s="706"/>
      <c r="M419" s="152"/>
      <c r="O419" s="154"/>
      <c r="P419" s="154"/>
    </row>
    <row r="420" spans="1:16" s="3" customFormat="1" x14ac:dyDescent="0.35">
      <c r="A420" s="12"/>
      <c r="B420" s="704"/>
      <c r="C420" s="705"/>
      <c r="D420" s="705"/>
      <c r="E420" s="705"/>
      <c r="F420" s="705"/>
      <c r="G420" s="705"/>
      <c r="H420" s="705"/>
      <c r="I420" s="705"/>
      <c r="J420" s="705"/>
      <c r="K420" s="705"/>
      <c r="L420" s="706"/>
      <c r="M420" s="152"/>
      <c r="O420" s="154"/>
      <c r="P420" s="154"/>
    </row>
    <row r="421" spans="1:16" s="3" customFormat="1" x14ac:dyDescent="0.35">
      <c r="A421" s="12"/>
      <c r="B421" s="704"/>
      <c r="C421" s="705"/>
      <c r="D421" s="705"/>
      <c r="E421" s="705"/>
      <c r="F421" s="705"/>
      <c r="G421" s="705"/>
      <c r="H421" s="705"/>
      <c r="I421" s="705"/>
      <c r="J421" s="705"/>
      <c r="K421" s="705"/>
      <c r="L421" s="706"/>
      <c r="M421" s="152"/>
      <c r="O421" s="154"/>
      <c r="P421" s="154"/>
    </row>
    <row r="422" spans="1:16" s="3" customFormat="1" x14ac:dyDescent="0.35">
      <c r="A422" s="12"/>
      <c r="B422" s="704"/>
      <c r="C422" s="705"/>
      <c r="D422" s="705"/>
      <c r="E422" s="705"/>
      <c r="F422" s="705"/>
      <c r="G422" s="705"/>
      <c r="H422" s="705"/>
      <c r="I422" s="705"/>
      <c r="J422" s="705"/>
      <c r="K422" s="705"/>
      <c r="L422" s="706"/>
      <c r="M422" s="152"/>
      <c r="O422" s="154"/>
      <c r="P422" s="154"/>
    </row>
    <row r="423" spans="1:16" s="3" customFormat="1" x14ac:dyDescent="0.35">
      <c r="A423" s="12"/>
      <c r="B423" s="704"/>
      <c r="C423" s="705"/>
      <c r="D423" s="705"/>
      <c r="E423" s="705"/>
      <c r="F423" s="705"/>
      <c r="G423" s="705"/>
      <c r="H423" s="705"/>
      <c r="I423" s="705"/>
      <c r="J423" s="705"/>
      <c r="K423" s="705"/>
      <c r="L423" s="706"/>
      <c r="M423" s="152"/>
      <c r="O423" s="154"/>
      <c r="P423" s="154"/>
    </row>
    <row r="424" spans="1:16" s="3" customFormat="1" x14ac:dyDescent="0.35">
      <c r="A424" s="12"/>
      <c r="B424" s="704"/>
      <c r="C424" s="705"/>
      <c r="D424" s="705"/>
      <c r="E424" s="705"/>
      <c r="F424" s="705"/>
      <c r="G424" s="705"/>
      <c r="H424" s="705"/>
      <c r="I424" s="705"/>
      <c r="J424" s="705"/>
      <c r="K424" s="705"/>
      <c r="L424" s="706"/>
      <c r="M424" s="152"/>
      <c r="O424" s="154"/>
      <c r="P424" s="154"/>
    </row>
    <row r="425" spans="1:16" s="152" customFormat="1" x14ac:dyDescent="0.35">
      <c r="A425" s="172"/>
      <c r="B425" s="186"/>
      <c r="C425" s="187"/>
      <c r="D425" s="187"/>
      <c r="E425" s="187"/>
      <c r="F425" s="187"/>
      <c r="G425" s="187"/>
      <c r="H425" s="187"/>
      <c r="I425" s="187"/>
      <c r="J425" s="187"/>
      <c r="K425" s="187"/>
      <c r="L425" s="185"/>
      <c r="O425" s="9"/>
      <c r="P425" s="9"/>
    </row>
    <row r="426" spans="1:16" x14ac:dyDescent="0.35">
      <c r="B426" s="710" t="s">
        <v>329</v>
      </c>
      <c r="C426" s="711"/>
      <c r="D426" s="711"/>
      <c r="E426" s="711"/>
      <c r="F426" s="711"/>
      <c r="G426" s="711"/>
      <c r="H426" s="711"/>
      <c r="I426" s="711"/>
      <c r="J426" s="711"/>
      <c r="K426" s="711"/>
      <c r="L426" s="712"/>
      <c r="M426" s="2"/>
    </row>
    <row r="427" spans="1:16" x14ac:dyDescent="0.35">
      <c r="B427" s="24"/>
      <c r="C427" s="25"/>
      <c r="D427" s="25"/>
      <c r="E427" s="26"/>
      <c r="F427" s="26"/>
      <c r="G427" s="26"/>
      <c r="H427" s="26"/>
      <c r="I427" s="26"/>
      <c r="J427" s="26"/>
      <c r="K427" s="26"/>
      <c r="L427" s="27"/>
      <c r="M427" s="2"/>
    </row>
    <row r="428" spans="1:16" x14ac:dyDescent="0.35">
      <c r="B428" s="602" t="str">
        <f>IF(Intro!$G$21="English",O428,P428)</f>
        <v>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v>
      </c>
      <c r="C428" s="603"/>
      <c r="D428" s="603"/>
      <c r="E428" s="603"/>
      <c r="F428" s="603"/>
      <c r="G428" s="603"/>
      <c r="H428" s="603"/>
      <c r="I428" s="603"/>
      <c r="J428" s="603"/>
      <c r="K428" s="603"/>
      <c r="L428" s="604"/>
      <c r="M428" s="2"/>
      <c r="O428" s="155" t="str">
        <f>"Explain any changes you expect to see in the Canadian market and in other markets globally for the goods over the next two years with respect to demand, prices, capacity utilization, import volumes or any other factor."</f>
        <v>Explain any changes you expect to see in the Canadian market and in other markets globally for the goods over the next two years with respect to demand, prices, capacity utilization, import volumes or any other factor.</v>
      </c>
      <c r="P428" s="9" t="s">
        <v>692</v>
      </c>
    </row>
    <row r="429" spans="1:16" x14ac:dyDescent="0.35">
      <c r="B429" s="602"/>
      <c r="C429" s="603"/>
      <c r="D429" s="603"/>
      <c r="E429" s="603"/>
      <c r="F429" s="603"/>
      <c r="G429" s="603"/>
      <c r="H429" s="603"/>
      <c r="I429" s="603"/>
      <c r="J429" s="603"/>
      <c r="K429" s="603"/>
      <c r="L429" s="604"/>
      <c r="M429" s="2"/>
      <c r="O429" s="155"/>
    </row>
    <row r="430" spans="1:16" s="152" customFormat="1" x14ac:dyDescent="0.35">
      <c r="A430" s="172"/>
      <c r="B430" s="184"/>
      <c r="C430" s="173"/>
      <c r="D430" s="173"/>
      <c r="E430" s="173"/>
      <c r="F430" s="173"/>
      <c r="G430" s="173"/>
      <c r="H430" s="173"/>
      <c r="I430" s="173"/>
      <c r="J430" s="173"/>
      <c r="K430" s="173"/>
      <c r="L430" s="174"/>
      <c r="O430" s="9"/>
      <c r="P430" s="9"/>
    </row>
    <row r="431" spans="1:16" s="3" customFormat="1" x14ac:dyDescent="0.35">
      <c r="A431" s="12"/>
      <c r="B431" s="704"/>
      <c r="C431" s="705"/>
      <c r="D431" s="705"/>
      <c r="E431" s="705"/>
      <c r="F431" s="705"/>
      <c r="G431" s="705"/>
      <c r="H431" s="705"/>
      <c r="I431" s="705"/>
      <c r="J431" s="705"/>
      <c r="K431" s="705"/>
      <c r="L431" s="706"/>
      <c r="M431" s="152"/>
      <c r="O431" s="154"/>
      <c r="P431" s="154"/>
    </row>
    <row r="432" spans="1:16" s="3" customFormat="1" x14ac:dyDescent="0.35">
      <c r="A432" s="12"/>
      <c r="B432" s="704"/>
      <c r="C432" s="705"/>
      <c r="D432" s="705"/>
      <c r="E432" s="705"/>
      <c r="F432" s="705"/>
      <c r="G432" s="705"/>
      <c r="H432" s="705"/>
      <c r="I432" s="705"/>
      <c r="J432" s="705"/>
      <c r="K432" s="705"/>
      <c r="L432" s="706"/>
      <c r="M432" s="152"/>
      <c r="O432" s="154"/>
      <c r="P432" s="154"/>
    </row>
    <row r="433" spans="1:17" s="3" customFormat="1" x14ac:dyDescent="0.35">
      <c r="A433" s="12"/>
      <c r="B433" s="704"/>
      <c r="C433" s="705"/>
      <c r="D433" s="705"/>
      <c r="E433" s="705"/>
      <c r="F433" s="705"/>
      <c r="G433" s="705"/>
      <c r="H433" s="705"/>
      <c r="I433" s="705"/>
      <c r="J433" s="705"/>
      <c r="K433" s="705"/>
      <c r="L433" s="706"/>
      <c r="M433" s="152"/>
      <c r="O433" s="154"/>
      <c r="P433" s="154"/>
    </row>
    <row r="434" spans="1:17" s="3" customFormat="1" x14ac:dyDescent="0.35">
      <c r="A434" s="12"/>
      <c r="B434" s="704"/>
      <c r="C434" s="705"/>
      <c r="D434" s="705"/>
      <c r="E434" s="705"/>
      <c r="F434" s="705"/>
      <c r="G434" s="705"/>
      <c r="H434" s="705"/>
      <c r="I434" s="705"/>
      <c r="J434" s="705"/>
      <c r="K434" s="705"/>
      <c r="L434" s="706"/>
      <c r="M434" s="152"/>
      <c r="O434" s="154"/>
      <c r="P434" s="154"/>
    </row>
    <row r="435" spans="1:17" s="3" customFormat="1" x14ac:dyDescent="0.35">
      <c r="A435" s="12"/>
      <c r="B435" s="704"/>
      <c r="C435" s="705"/>
      <c r="D435" s="705"/>
      <c r="E435" s="705"/>
      <c r="F435" s="705"/>
      <c r="G435" s="705"/>
      <c r="H435" s="705"/>
      <c r="I435" s="705"/>
      <c r="J435" s="705"/>
      <c r="K435" s="705"/>
      <c r="L435" s="706"/>
      <c r="M435" s="152"/>
      <c r="O435" s="154"/>
      <c r="P435" s="154"/>
    </row>
    <row r="436" spans="1:17" s="3" customFormat="1" x14ac:dyDescent="0.35">
      <c r="A436" s="12"/>
      <c r="B436" s="704"/>
      <c r="C436" s="705"/>
      <c r="D436" s="705"/>
      <c r="E436" s="705"/>
      <c r="F436" s="705"/>
      <c r="G436" s="705"/>
      <c r="H436" s="705"/>
      <c r="I436" s="705"/>
      <c r="J436" s="705"/>
      <c r="K436" s="705"/>
      <c r="L436" s="706"/>
      <c r="M436" s="152"/>
      <c r="O436" s="154"/>
      <c r="P436" s="154"/>
    </row>
    <row r="437" spans="1:17" s="3" customFormat="1" x14ac:dyDescent="0.35">
      <c r="A437" s="12"/>
      <c r="B437" s="704"/>
      <c r="C437" s="705"/>
      <c r="D437" s="705"/>
      <c r="E437" s="705"/>
      <c r="F437" s="705"/>
      <c r="G437" s="705"/>
      <c r="H437" s="705"/>
      <c r="I437" s="705"/>
      <c r="J437" s="705"/>
      <c r="K437" s="705"/>
      <c r="L437" s="706"/>
      <c r="M437" s="152"/>
      <c r="O437" s="154"/>
      <c r="P437" s="154"/>
    </row>
    <row r="438" spans="1:17" s="3" customFormat="1" x14ac:dyDescent="0.35">
      <c r="A438" s="12"/>
      <c r="B438" s="704"/>
      <c r="C438" s="705"/>
      <c r="D438" s="705"/>
      <c r="E438" s="705"/>
      <c r="F438" s="705"/>
      <c r="G438" s="705"/>
      <c r="H438" s="705"/>
      <c r="I438" s="705"/>
      <c r="J438" s="705"/>
      <c r="K438" s="705"/>
      <c r="L438" s="706"/>
      <c r="M438" s="152"/>
      <c r="O438" s="154"/>
      <c r="P438" s="154"/>
    </row>
    <row r="439" spans="1:17" s="152" customFormat="1" x14ac:dyDescent="0.35">
      <c r="A439" s="172"/>
      <c r="B439" s="186"/>
      <c r="C439" s="187"/>
      <c r="D439" s="187"/>
      <c r="E439" s="187"/>
      <c r="F439" s="187"/>
      <c r="G439" s="187"/>
      <c r="H439" s="187"/>
      <c r="I439" s="187"/>
      <c r="J439" s="187"/>
      <c r="K439" s="187"/>
      <c r="L439" s="185"/>
      <c r="O439" s="9"/>
      <c r="P439" s="9"/>
    </row>
    <row r="440" spans="1:17" x14ac:dyDescent="0.35">
      <c r="B440" s="700" t="s">
        <v>676</v>
      </c>
      <c r="C440" s="701"/>
      <c r="D440" s="701"/>
      <c r="E440" s="701"/>
      <c r="F440" s="702"/>
      <c r="G440" s="702"/>
      <c r="H440" s="702"/>
      <c r="I440" s="702"/>
      <c r="J440" s="702"/>
      <c r="K440" s="702"/>
      <c r="L440" s="703"/>
      <c r="O440" s="2"/>
      <c r="P440" s="2"/>
    </row>
    <row r="441" spans="1:17" x14ac:dyDescent="0.35">
      <c r="B441" s="224"/>
      <c r="C441" s="225"/>
      <c r="D441" s="225"/>
      <c r="E441" s="225"/>
      <c r="F441" s="170"/>
      <c r="G441" s="170"/>
      <c r="H441" s="170"/>
      <c r="I441" s="170"/>
      <c r="J441" s="170"/>
      <c r="K441" s="170"/>
      <c r="L441" s="171"/>
      <c r="O441" s="2"/>
      <c r="P441" s="2"/>
    </row>
    <row r="442" spans="1:17" x14ac:dyDescent="0.35">
      <c r="B442" s="608" t="str">
        <f>IF(Intro!$G$21="English",O442,P442)</f>
        <v>Expliquez les effets possibles sur ces perspectives advenant des conclusions du dommage ou du menace de dommage. Fournissez des documents, ou les noms de documents, tels que des études ou des articles dans des revues spécialisées, qui appuient la déclaration de votre entreprise.</v>
      </c>
      <c r="C442" s="609"/>
      <c r="D442" s="609"/>
      <c r="E442" s="609"/>
      <c r="F442" s="609"/>
      <c r="G442" s="609"/>
      <c r="H442" s="609"/>
      <c r="I442" s="609"/>
      <c r="J442" s="609"/>
      <c r="K442" s="609"/>
      <c r="L442" s="610"/>
      <c r="O442" s="155" t="s">
        <v>674</v>
      </c>
      <c r="P442" s="10" t="s">
        <v>675</v>
      </c>
      <c r="Q442" s="10"/>
    </row>
    <row r="443" spans="1:17" x14ac:dyDescent="0.35">
      <c r="B443" s="608"/>
      <c r="C443" s="609"/>
      <c r="D443" s="609"/>
      <c r="E443" s="609"/>
      <c r="F443" s="609"/>
      <c r="G443" s="609"/>
      <c r="H443" s="609"/>
      <c r="I443" s="609"/>
      <c r="J443" s="609"/>
      <c r="K443" s="609"/>
      <c r="L443" s="610"/>
      <c r="O443" s="155"/>
      <c r="P443" s="226"/>
      <c r="Q443" s="226"/>
    </row>
    <row r="444" spans="1:17" x14ac:dyDescent="0.35">
      <c r="B444" s="223"/>
      <c r="C444" s="151"/>
      <c r="D444" s="151"/>
      <c r="E444" s="151"/>
      <c r="F444" s="151"/>
      <c r="G444" s="151"/>
      <c r="H444" s="151"/>
      <c r="I444" s="151"/>
      <c r="J444" s="151"/>
      <c r="K444" s="151"/>
      <c r="L444" s="162"/>
      <c r="O444" s="227"/>
      <c r="P444" s="227"/>
      <c r="Q444" s="228"/>
    </row>
    <row r="445" spans="1:17" s="3" customFormat="1" x14ac:dyDescent="0.35">
      <c r="A445" s="12"/>
      <c r="B445" s="704"/>
      <c r="C445" s="705"/>
      <c r="D445" s="705"/>
      <c r="E445" s="705"/>
      <c r="F445" s="705"/>
      <c r="G445" s="705"/>
      <c r="H445" s="705"/>
      <c r="I445" s="705"/>
      <c r="J445" s="705"/>
      <c r="K445" s="705"/>
      <c r="L445" s="706"/>
      <c r="M445" s="152"/>
      <c r="Q445" s="2"/>
    </row>
    <row r="446" spans="1:17" s="3" customFormat="1" x14ac:dyDescent="0.35">
      <c r="A446" s="12"/>
      <c r="B446" s="704"/>
      <c r="C446" s="705"/>
      <c r="D446" s="705"/>
      <c r="E446" s="705"/>
      <c r="F446" s="705"/>
      <c r="G446" s="705"/>
      <c r="H446" s="705"/>
      <c r="I446" s="705"/>
      <c r="J446" s="705"/>
      <c r="K446" s="705"/>
      <c r="L446" s="706"/>
      <c r="M446" s="152"/>
      <c r="Q446" s="2"/>
    </row>
    <row r="447" spans="1:17" s="3" customFormat="1" x14ac:dyDescent="0.35">
      <c r="A447" s="12"/>
      <c r="B447" s="704"/>
      <c r="C447" s="705"/>
      <c r="D447" s="705"/>
      <c r="E447" s="705"/>
      <c r="F447" s="705"/>
      <c r="G447" s="705"/>
      <c r="H447" s="705"/>
      <c r="I447" s="705"/>
      <c r="J447" s="705"/>
      <c r="K447" s="705"/>
      <c r="L447" s="706"/>
      <c r="M447" s="152"/>
      <c r="O447" s="154"/>
      <c r="P447" s="154"/>
    </row>
    <row r="448" spans="1:17" s="3" customFormat="1" x14ac:dyDescent="0.35">
      <c r="A448" s="12"/>
      <c r="B448" s="704"/>
      <c r="C448" s="705"/>
      <c r="D448" s="705"/>
      <c r="E448" s="705"/>
      <c r="F448" s="705"/>
      <c r="G448" s="705"/>
      <c r="H448" s="705"/>
      <c r="I448" s="705"/>
      <c r="J448" s="705"/>
      <c r="K448" s="705"/>
      <c r="L448" s="706"/>
      <c r="M448" s="152"/>
      <c r="O448" s="154"/>
      <c r="P448" s="154"/>
    </row>
    <row r="449" spans="1:17" s="3" customFormat="1" x14ac:dyDescent="0.35">
      <c r="A449" s="12"/>
      <c r="B449" s="704"/>
      <c r="C449" s="705"/>
      <c r="D449" s="705"/>
      <c r="E449" s="705"/>
      <c r="F449" s="705"/>
      <c r="G449" s="705"/>
      <c r="H449" s="705"/>
      <c r="I449" s="705"/>
      <c r="J449" s="705"/>
      <c r="K449" s="705"/>
      <c r="L449" s="706"/>
      <c r="M449" s="152"/>
      <c r="Q449" s="2"/>
    </row>
    <row r="450" spans="1:17" s="3" customFormat="1" x14ac:dyDescent="0.35">
      <c r="A450" s="12"/>
      <c r="B450" s="704"/>
      <c r="C450" s="705"/>
      <c r="D450" s="705"/>
      <c r="E450" s="705"/>
      <c r="F450" s="705"/>
      <c r="G450" s="705"/>
      <c r="H450" s="705"/>
      <c r="I450" s="705"/>
      <c r="J450" s="705"/>
      <c r="K450" s="705"/>
      <c r="L450" s="706"/>
      <c r="M450" s="152"/>
      <c r="Q450" s="2"/>
    </row>
    <row r="451" spans="1:17" s="3" customFormat="1" x14ac:dyDescent="0.35">
      <c r="A451" s="12"/>
      <c r="B451" s="704"/>
      <c r="C451" s="705"/>
      <c r="D451" s="705"/>
      <c r="E451" s="705"/>
      <c r="F451" s="705"/>
      <c r="G451" s="705"/>
      <c r="H451" s="705"/>
      <c r="I451" s="705"/>
      <c r="J451" s="705"/>
      <c r="K451" s="705"/>
      <c r="L451" s="706"/>
      <c r="M451" s="152"/>
      <c r="Q451" s="2"/>
    </row>
    <row r="452" spans="1:17" s="3" customFormat="1" x14ac:dyDescent="0.35">
      <c r="A452" s="12"/>
      <c r="B452" s="704"/>
      <c r="C452" s="705"/>
      <c r="D452" s="705"/>
      <c r="E452" s="705"/>
      <c r="F452" s="705"/>
      <c r="G452" s="705"/>
      <c r="H452" s="705"/>
      <c r="I452" s="705"/>
      <c r="J452" s="705"/>
      <c r="K452" s="705"/>
      <c r="L452" s="706"/>
      <c r="M452" s="152"/>
      <c r="Q452" s="2"/>
    </row>
    <row r="453" spans="1:17" x14ac:dyDescent="0.35">
      <c r="B453" s="713"/>
      <c r="C453" s="714"/>
      <c r="D453" s="714"/>
      <c r="E453" s="714"/>
      <c r="F453" s="714"/>
      <c r="G453" s="714"/>
      <c r="H453" s="714"/>
      <c r="I453" s="714"/>
      <c r="J453" s="714"/>
      <c r="K453" s="714"/>
      <c r="L453" s="715"/>
      <c r="O453" s="2"/>
      <c r="P453" s="2"/>
    </row>
  </sheetData>
  <sheetProtection algorithmName="SHA-512" hashValue="cu/wTcY5c0ecdUB0/a/zysxD4222ZMHBneo2Mc99uH64FsICwZBaJkQCAuXz2GOuwFTPHGDAn3qGawkP0QokFw==" saltValue="MPsnnw/xCW1AG8RFxdpMFg==" spinCount="100000" sheet="1" objects="1" scenarios="1" selectLockedCells="1"/>
  <mergeCells count="197">
    <mergeCell ref="B322:L322"/>
    <mergeCell ref="B411:L411"/>
    <mergeCell ref="B388:L395"/>
    <mergeCell ref="B401:L408"/>
    <mergeCell ref="B417:L424"/>
    <mergeCell ref="B414:L415"/>
    <mergeCell ref="B386:L386"/>
    <mergeCell ref="B336:L336"/>
    <mergeCell ref="B350:L350"/>
    <mergeCell ref="B378:L378"/>
    <mergeCell ref="B397:L397"/>
    <mergeCell ref="B412:L412"/>
    <mergeCell ref="B382:G382"/>
    <mergeCell ref="B383:G383"/>
    <mergeCell ref="B384:G384"/>
    <mergeCell ref="B71:L71"/>
    <mergeCell ref="B84:L84"/>
    <mergeCell ref="B94:L94"/>
    <mergeCell ref="B155:L155"/>
    <mergeCell ref="B176:L176"/>
    <mergeCell ref="B189:L189"/>
    <mergeCell ref="B204:L204"/>
    <mergeCell ref="B75:L82"/>
    <mergeCell ref="B159:L166"/>
    <mergeCell ref="B180:L187"/>
    <mergeCell ref="B193:L200"/>
    <mergeCell ref="G134:H143"/>
    <mergeCell ref="B96:L96"/>
    <mergeCell ref="C98:D103"/>
    <mergeCell ref="E98:F103"/>
    <mergeCell ref="G98:H103"/>
    <mergeCell ref="I98:J103"/>
    <mergeCell ref="K98:L103"/>
    <mergeCell ref="B203:L203"/>
    <mergeCell ref="B86:L86"/>
    <mergeCell ref="B87:L87"/>
    <mergeCell ref="B88:C88"/>
    <mergeCell ref="B90:L90"/>
    <mergeCell ref="B47:B48"/>
    <mergeCell ref="B431:L438"/>
    <mergeCell ref="B104:B113"/>
    <mergeCell ref="C104:D113"/>
    <mergeCell ref="E104:F113"/>
    <mergeCell ref="G104:H113"/>
    <mergeCell ref="I104:J113"/>
    <mergeCell ref="K104:L113"/>
    <mergeCell ref="B114:B123"/>
    <mergeCell ref="C114:D123"/>
    <mergeCell ref="E114:F123"/>
    <mergeCell ref="G114:H123"/>
    <mergeCell ref="I114:J123"/>
    <mergeCell ref="K114:L123"/>
    <mergeCell ref="B124:B133"/>
    <mergeCell ref="C124:D133"/>
    <mergeCell ref="E124:F133"/>
    <mergeCell ref="B426:L426"/>
    <mergeCell ref="G124:H133"/>
    <mergeCell ref="I124:J133"/>
    <mergeCell ref="K124:L133"/>
    <mergeCell ref="B134:B143"/>
    <mergeCell ref="C134:D143"/>
    <mergeCell ref="E134:F143"/>
    <mergeCell ref="E43:F44"/>
    <mergeCell ref="G43:I44"/>
    <mergeCell ref="J43:L44"/>
    <mergeCell ref="C45:D46"/>
    <mergeCell ref="B272:L279"/>
    <mergeCell ref="B285:L292"/>
    <mergeCell ref="I134:J143"/>
    <mergeCell ref="K134:L143"/>
    <mergeCell ref="B144:B153"/>
    <mergeCell ref="C144:D153"/>
    <mergeCell ref="E144:F153"/>
    <mergeCell ref="G144:H153"/>
    <mergeCell ref="I144:J153"/>
    <mergeCell ref="K144:L153"/>
    <mergeCell ref="B281:L281"/>
    <mergeCell ref="B168:L168"/>
    <mergeCell ref="B172:C172"/>
    <mergeCell ref="B173:C173"/>
    <mergeCell ref="B174:C174"/>
    <mergeCell ref="D172:L172"/>
    <mergeCell ref="D173:L173"/>
    <mergeCell ref="B55:B56"/>
    <mergeCell ref="B62:L69"/>
    <mergeCell ref="G51:I52"/>
    <mergeCell ref="B60:L60"/>
    <mergeCell ref="B73:L73"/>
    <mergeCell ref="B93:L93"/>
    <mergeCell ref="B28:L33"/>
    <mergeCell ref="G55:I56"/>
    <mergeCell ref="J55:L56"/>
    <mergeCell ref="C41:D42"/>
    <mergeCell ref="E41:F42"/>
    <mergeCell ref="G41:I42"/>
    <mergeCell ref="J41:L42"/>
    <mergeCell ref="C43:D44"/>
    <mergeCell ref="B37:B38"/>
    <mergeCell ref="C37:D38"/>
    <mergeCell ref="E37:F38"/>
    <mergeCell ref="G37:I38"/>
    <mergeCell ref="J37:L38"/>
    <mergeCell ref="C39:D40"/>
    <mergeCell ref="E39:F40"/>
    <mergeCell ref="G39:I40"/>
    <mergeCell ref="J39:L40"/>
    <mergeCell ref="B39:B40"/>
    <mergeCell ref="B41:B42"/>
    <mergeCell ref="B43:B44"/>
    <mergeCell ref="B45:B46"/>
    <mergeCell ref="B4:L4"/>
    <mergeCell ref="B5:L5"/>
    <mergeCell ref="B6:L6"/>
    <mergeCell ref="J35:L36"/>
    <mergeCell ref="B12:L12"/>
    <mergeCell ref="B8:L8"/>
    <mergeCell ref="B9:L9"/>
    <mergeCell ref="B10:L10"/>
    <mergeCell ref="B15:L15"/>
    <mergeCell ref="C35:D36"/>
    <mergeCell ref="E35:F36"/>
    <mergeCell ref="G35:I36"/>
    <mergeCell ref="B17:L24"/>
    <mergeCell ref="B13:L13"/>
    <mergeCell ref="B26:L26"/>
    <mergeCell ref="B58:L58"/>
    <mergeCell ref="C47:D48"/>
    <mergeCell ref="E47:F48"/>
    <mergeCell ref="G47:I48"/>
    <mergeCell ref="J47:L48"/>
    <mergeCell ref="C49:D50"/>
    <mergeCell ref="E49:F50"/>
    <mergeCell ref="G49:I50"/>
    <mergeCell ref="E45:F46"/>
    <mergeCell ref="G45:I46"/>
    <mergeCell ref="J45:L46"/>
    <mergeCell ref="B49:B50"/>
    <mergeCell ref="B51:B52"/>
    <mergeCell ref="B53:B54"/>
    <mergeCell ref="J49:L50"/>
    <mergeCell ref="C51:D52"/>
    <mergeCell ref="E51:F52"/>
    <mergeCell ref="J51:L52"/>
    <mergeCell ref="C53:D54"/>
    <mergeCell ref="E53:F54"/>
    <mergeCell ref="G53:I54"/>
    <mergeCell ref="J53:L54"/>
    <mergeCell ref="C55:D56"/>
    <mergeCell ref="E55:F56"/>
    <mergeCell ref="B453:L453"/>
    <mergeCell ref="B399:L399"/>
    <mergeCell ref="B157:L157"/>
    <mergeCell ref="B206:L206"/>
    <mergeCell ref="B191:L191"/>
    <mergeCell ref="B270:C270"/>
    <mergeCell ref="B283:L283"/>
    <mergeCell ref="B296:L296"/>
    <mergeCell ref="B178:L178"/>
    <mergeCell ref="B254:L254"/>
    <mergeCell ref="B208:D212"/>
    <mergeCell ref="E208:L212"/>
    <mergeCell ref="B213:D217"/>
    <mergeCell ref="E213:L217"/>
    <mergeCell ref="B224:L224"/>
    <mergeCell ref="B238:L238"/>
    <mergeCell ref="B252:L252"/>
    <mergeCell ref="B265:L265"/>
    <mergeCell ref="B294:L294"/>
    <mergeCell ref="B307:L307"/>
    <mergeCell ref="B323:L323"/>
    <mergeCell ref="D174:L174"/>
    <mergeCell ref="B170:L170"/>
    <mergeCell ref="B298:L305"/>
    <mergeCell ref="B440:L440"/>
    <mergeCell ref="B442:L443"/>
    <mergeCell ref="B445:L452"/>
    <mergeCell ref="B428:L429"/>
    <mergeCell ref="B218:D222"/>
    <mergeCell ref="E218:L222"/>
    <mergeCell ref="B226:L227"/>
    <mergeCell ref="B240:L241"/>
    <mergeCell ref="B267:L268"/>
    <mergeCell ref="B309:L310"/>
    <mergeCell ref="B338:L339"/>
    <mergeCell ref="B352:L353"/>
    <mergeCell ref="B366:L367"/>
    <mergeCell ref="B312:L319"/>
    <mergeCell ref="B327:L334"/>
    <mergeCell ref="B341:L348"/>
    <mergeCell ref="B355:L362"/>
    <mergeCell ref="B380:L380"/>
    <mergeCell ref="B325:L325"/>
    <mergeCell ref="B229:L236"/>
    <mergeCell ref="B364:L364"/>
    <mergeCell ref="B243:L250"/>
    <mergeCell ref="B256:L263"/>
    <mergeCell ref="B369:L376"/>
  </mergeCells>
  <dataValidations count="4">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75 B159:B161 B180:B182 B193 B17 B229 B231:B232 B256 B272 B285 B298 B312 B327 B341 B355 B369 B388 B401 B417 B431 B433 B447 B62 B445 B195:B196 B243:B245 B259:B260 B274:B275 B288:B289 B301:B302 B315:B316 B329:B330 B343:B344 B357 B371 B390 B403 B419" xr:uid="{12A675B1-CBA0-4994-8490-3D96E188227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70" xr:uid="{51751D26-3857-4105-8CD2-B60852B0348B}">
      <formula1>0</formula1>
    </dataValidation>
    <dataValidation allowBlank="1" showInputMessage="1" showErrorMessage="1" sqref="C104:L153 D172:L174 E208:L222" xr:uid="{8A842A76-AF5B-4A75-951F-E39EA499330C}"/>
    <dataValidation type="list" allowBlank="1" showInputMessage="1" showErrorMessage="1" sqref="H382:H384" xr:uid="{3D3F2DCC-2D7D-4040-B21C-C1A2394FA711}">
      <formula1>"X"</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70" min="1" max="11" man="1"/>
    <brk id="133" min="1" max="11" man="1"/>
    <brk id="202" min="1" max="11" man="1"/>
    <brk id="264" min="1" max="11" man="1"/>
    <brk id="321" min="1" max="11" man="1"/>
    <brk id="377" min="1" max="11" man="1"/>
    <brk id="439"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7BF4CD1-21FE-465C-9B11-0AC2603C5337}">
          <x14:formula1>
            <xm:f>Variables!$D$54:$D$55</xm:f>
          </x14:formula1>
          <xm:sqref>D88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45CC-A9F5-4285-83F0-6D3935BA020A}">
  <sheetPr>
    <tabColor rgb="FF00B0F0"/>
    <pageSetUpPr fitToPage="1"/>
  </sheetPr>
  <dimension ref="A1:P57"/>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7" width="9.08984375" style="2" customWidth="1"/>
    <col min="18" max="16384" width="9.08984375" style="2"/>
  </cols>
  <sheetData>
    <row r="1" spans="1:16" x14ac:dyDescent="0.35">
      <c r="O1" s="2" t="s">
        <v>715</v>
      </c>
      <c r="P1" s="2" t="s">
        <v>715</v>
      </c>
    </row>
    <row r="2" spans="1:16" x14ac:dyDescent="0.35">
      <c r="B2" s="20" t="s">
        <v>0</v>
      </c>
      <c r="C2" s="20"/>
      <c r="O2" s="3" t="s">
        <v>164</v>
      </c>
      <c r="P2" s="3" t="s">
        <v>165</v>
      </c>
    </row>
    <row r="3" spans="1:16" x14ac:dyDescent="0.35">
      <c r="B3" s="21"/>
      <c r="C3" s="21"/>
      <c r="O3" s="8"/>
      <c r="P3" s="8"/>
    </row>
    <row r="4" spans="1:16" s="8" customFormat="1" x14ac:dyDescent="0.35">
      <c r="A4" s="13"/>
      <c r="B4" s="614" t="str">
        <f>Info!B4</f>
        <v>QUESTIONNAIRE À L’INTENTION DES PRODUCTEURS</v>
      </c>
      <c r="C4" s="615"/>
      <c r="D4" s="615"/>
      <c r="E4" s="615"/>
      <c r="F4" s="615"/>
      <c r="G4" s="615"/>
      <c r="H4" s="615"/>
      <c r="I4" s="615"/>
      <c r="J4" s="615"/>
      <c r="K4" s="615"/>
      <c r="L4" s="616"/>
      <c r="M4" s="15"/>
      <c r="N4" s="15"/>
      <c r="O4" s="14"/>
      <c r="P4" s="14"/>
    </row>
    <row r="5" spans="1:16" s="8" customFormat="1" x14ac:dyDescent="0.35">
      <c r="A5" s="13"/>
      <c r="B5" s="617" t="str">
        <f>Info!B5</f>
        <v>NQ-2026-003</v>
      </c>
      <c r="C5" s="618"/>
      <c r="D5" s="618"/>
      <c r="E5" s="618"/>
      <c r="F5" s="618"/>
      <c r="G5" s="618"/>
      <c r="H5" s="618"/>
      <c r="I5" s="618"/>
      <c r="J5" s="618"/>
      <c r="K5" s="618"/>
      <c r="L5" s="619"/>
      <c r="M5" s="15"/>
      <c r="N5" s="15"/>
      <c r="O5" s="14"/>
      <c r="P5" s="14"/>
    </row>
    <row r="6" spans="1:16" s="9" customFormat="1" x14ac:dyDescent="0.35">
      <c r="A6" s="13"/>
      <c r="B6" s="622" t="str">
        <f>Info!B6</f>
        <v>CÂBLES DE BÂTIMENTS NON ARMÉS</v>
      </c>
      <c r="C6" s="623"/>
      <c r="D6" s="623"/>
      <c r="E6" s="623"/>
      <c r="F6" s="623"/>
      <c r="G6" s="623"/>
      <c r="H6" s="623"/>
      <c r="I6" s="623"/>
      <c r="J6" s="623"/>
      <c r="K6" s="623"/>
      <c r="L6" s="624"/>
      <c r="M6" s="14"/>
      <c r="N6" s="14"/>
      <c r="O6" s="10"/>
      <c r="P6" s="10"/>
    </row>
    <row r="7" spans="1:16" s="9" customFormat="1" x14ac:dyDescent="0.35">
      <c r="A7" s="13"/>
      <c r="B7" s="22"/>
      <c r="C7" s="22"/>
      <c r="D7" s="23"/>
      <c r="E7" s="23"/>
      <c r="F7" s="23"/>
      <c r="G7" s="23"/>
      <c r="H7" s="23"/>
      <c r="I7" s="23"/>
      <c r="J7" s="23"/>
      <c r="K7" s="23"/>
      <c r="L7" s="23"/>
      <c r="O7" s="10"/>
      <c r="P7" s="10"/>
    </row>
    <row r="8" spans="1:16" x14ac:dyDescent="0.35">
      <c r="B8" s="599" t="str">
        <f>UPPER(IF(Intro!$G$21="English",O8,P8))</f>
        <v>COMMENTAIRES PUBLICS</v>
      </c>
      <c r="C8" s="600"/>
      <c r="D8" s="600"/>
      <c r="E8" s="600"/>
      <c r="F8" s="600"/>
      <c r="G8" s="600"/>
      <c r="H8" s="600"/>
      <c r="I8" s="600"/>
      <c r="J8" s="600"/>
      <c r="K8" s="600"/>
      <c r="L8" s="601"/>
      <c r="M8" s="2"/>
      <c r="O8" s="2" t="s">
        <v>148</v>
      </c>
      <c r="P8" s="2" t="s">
        <v>149</v>
      </c>
    </row>
    <row r="9" spans="1:16" x14ac:dyDescent="0.35">
      <c r="B9" s="24"/>
      <c r="C9" s="25"/>
      <c r="D9" s="26"/>
      <c r="E9" s="26"/>
      <c r="F9" s="26"/>
      <c r="G9" s="26"/>
      <c r="H9" s="26"/>
      <c r="I9" s="26"/>
      <c r="J9" s="26"/>
      <c r="K9" s="26"/>
      <c r="L9" s="27"/>
      <c r="M9" s="2"/>
    </row>
    <row r="10" spans="1:16" x14ac:dyDescent="0.35">
      <c r="B10" s="602" t="str">
        <f>IF(Intro!$G$21="English",O10,P10)</f>
        <v>Si votre entreprise désire ajouter des commentaires concernant vos réponses, vous les inscrivez ici. Indiquez à quelle question se rapportent vos commentaires.</v>
      </c>
      <c r="C10" s="603"/>
      <c r="D10" s="603"/>
      <c r="E10" s="603"/>
      <c r="F10" s="603"/>
      <c r="G10" s="603"/>
      <c r="H10" s="603"/>
      <c r="I10" s="603"/>
      <c r="J10" s="603"/>
      <c r="K10" s="603"/>
      <c r="L10" s="604"/>
      <c r="M10" s="2"/>
      <c r="O10" s="11" t="s">
        <v>566</v>
      </c>
      <c r="P10" s="2" t="s">
        <v>407</v>
      </c>
    </row>
    <row r="11" spans="1:16" x14ac:dyDescent="0.35">
      <c r="B11" s="159"/>
      <c r="C11" s="25"/>
      <c r="D11" s="26"/>
      <c r="E11" s="26"/>
      <c r="F11" s="26"/>
      <c r="G11" s="26"/>
      <c r="H11" s="26"/>
      <c r="I11" s="26"/>
      <c r="J11" s="26"/>
      <c r="K11" s="26"/>
      <c r="L11" s="27"/>
      <c r="M11" s="2"/>
      <c r="O11" s="231" t="s">
        <v>701</v>
      </c>
      <c r="P11" s="231" t="s">
        <v>702</v>
      </c>
    </row>
    <row r="12" spans="1:16" ht="28" x14ac:dyDescent="0.35">
      <c r="B12" s="159"/>
      <c r="C12" s="271" t="str">
        <f>IF(Intro!$G$21="English",O11,P11)</f>
        <v>Onglet et question</v>
      </c>
      <c r="D12" s="751" t="str">
        <f>IF(Intro!$G$21="English",O12,P12)</f>
        <v>Commentaires</v>
      </c>
      <c r="E12" s="752"/>
      <c r="F12" s="752"/>
      <c r="G12" s="752"/>
      <c r="H12" s="752"/>
      <c r="I12" s="752"/>
      <c r="J12" s="752"/>
      <c r="K12" s="752"/>
      <c r="L12" s="753"/>
      <c r="M12" s="2"/>
      <c r="O12" s="11" t="s">
        <v>273</v>
      </c>
      <c r="P12" s="2" t="s">
        <v>274</v>
      </c>
    </row>
    <row r="13" spans="1:16" ht="14.25" customHeight="1" x14ac:dyDescent="0.35">
      <c r="B13" s="754" t="str">
        <f>IF(Intro!$G$21="English",O13,P13)</f>
        <v>Commentaire 1</v>
      </c>
      <c r="C13" s="757"/>
      <c r="D13" s="741"/>
      <c r="E13" s="742"/>
      <c r="F13" s="742"/>
      <c r="G13" s="742"/>
      <c r="H13" s="742"/>
      <c r="I13" s="742"/>
      <c r="J13" s="742"/>
      <c r="K13" s="742"/>
      <c r="L13" s="743"/>
      <c r="M13" s="2"/>
      <c r="O13" s="11" t="s">
        <v>275</v>
      </c>
      <c r="P13" s="2" t="s">
        <v>276</v>
      </c>
    </row>
    <row r="14" spans="1:16" x14ac:dyDescent="0.35">
      <c r="B14" s="755"/>
      <c r="C14" s="758"/>
      <c r="D14" s="744"/>
      <c r="E14" s="644"/>
      <c r="F14" s="644"/>
      <c r="G14" s="644"/>
      <c r="H14" s="644"/>
      <c r="I14" s="644"/>
      <c r="J14" s="644"/>
      <c r="K14" s="644"/>
      <c r="L14" s="645"/>
      <c r="M14" s="2"/>
    </row>
    <row r="15" spans="1:16" x14ac:dyDescent="0.35">
      <c r="B15" s="755"/>
      <c r="C15" s="758"/>
      <c r="D15" s="744"/>
      <c r="E15" s="644"/>
      <c r="F15" s="644"/>
      <c r="G15" s="644"/>
      <c r="H15" s="644"/>
      <c r="I15" s="644"/>
      <c r="J15" s="644"/>
      <c r="K15" s="644"/>
      <c r="L15" s="645"/>
      <c r="M15" s="2"/>
    </row>
    <row r="16" spans="1:16" x14ac:dyDescent="0.35">
      <c r="B16" s="755"/>
      <c r="C16" s="758"/>
      <c r="D16" s="744"/>
      <c r="E16" s="644"/>
      <c r="F16" s="644"/>
      <c r="G16" s="644"/>
      <c r="H16" s="644"/>
      <c r="I16" s="644"/>
      <c r="J16" s="644"/>
      <c r="K16" s="644"/>
      <c r="L16" s="645"/>
      <c r="M16" s="2"/>
    </row>
    <row r="17" spans="2:16" x14ac:dyDescent="0.35">
      <c r="B17" s="755"/>
      <c r="C17" s="758"/>
      <c r="D17" s="744"/>
      <c r="E17" s="644"/>
      <c r="F17" s="644"/>
      <c r="G17" s="644"/>
      <c r="H17" s="644"/>
      <c r="I17" s="644"/>
      <c r="J17" s="644"/>
      <c r="K17" s="644"/>
      <c r="L17" s="645"/>
      <c r="M17" s="2"/>
    </row>
    <row r="18" spans="2:16" x14ac:dyDescent="0.35">
      <c r="B18" s="755"/>
      <c r="C18" s="758"/>
      <c r="D18" s="744"/>
      <c r="E18" s="644"/>
      <c r="F18" s="644"/>
      <c r="G18" s="644"/>
      <c r="H18" s="644"/>
      <c r="I18" s="644"/>
      <c r="J18" s="644"/>
      <c r="K18" s="644"/>
      <c r="L18" s="645"/>
      <c r="M18" s="2"/>
      <c r="O18" s="156"/>
      <c r="P18" s="156"/>
    </row>
    <row r="19" spans="2:16" x14ac:dyDescent="0.35">
      <c r="B19" s="755"/>
      <c r="C19" s="758"/>
      <c r="D19" s="744"/>
      <c r="E19" s="644"/>
      <c r="F19" s="644"/>
      <c r="G19" s="644"/>
      <c r="H19" s="644"/>
      <c r="I19" s="644"/>
      <c r="J19" s="644"/>
      <c r="K19" s="644"/>
      <c r="L19" s="645"/>
      <c r="M19" s="2"/>
      <c r="O19" s="11"/>
    </row>
    <row r="20" spans="2:16" x14ac:dyDescent="0.35">
      <c r="B20" s="755"/>
      <c r="C20" s="758"/>
      <c r="D20" s="744"/>
      <c r="E20" s="644"/>
      <c r="F20" s="644"/>
      <c r="G20" s="644"/>
      <c r="H20" s="644"/>
      <c r="I20" s="644"/>
      <c r="J20" s="644"/>
      <c r="K20" s="644"/>
      <c r="L20" s="645"/>
      <c r="M20" s="2"/>
      <c r="O20" s="11"/>
    </row>
    <row r="21" spans="2:16" x14ac:dyDescent="0.35">
      <c r="B21" s="756"/>
      <c r="C21" s="759"/>
      <c r="D21" s="745"/>
      <c r="E21" s="746"/>
      <c r="F21" s="746"/>
      <c r="G21" s="746"/>
      <c r="H21" s="746"/>
      <c r="I21" s="746"/>
      <c r="J21" s="746"/>
      <c r="K21" s="746"/>
      <c r="L21" s="747"/>
      <c r="M21" s="2"/>
      <c r="O21" s="11"/>
    </row>
    <row r="22" spans="2:16" ht="14.25" customHeight="1" x14ac:dyDescent="0.35">
      <c r="B22" s="272" t="str">
        <f>IF(Intro!$G$21="English",O22,P22)</f>
        <v>Commentaire 2</v>
      </c>
      <c r="C22" s="757"/>
      <c r="D22" s="741"/>
      <c r="E22" s="742"/>
      <c r="F22" s="742"/>
      <c r="G22" s="742"/>
      <c r="H22" s="742"/>
      <c r="I22" s="742"/>
      <c r="J22" s="742"/>
      <c r="K22" s="742"/>
      <c r="L22" s="743"/>
      <c r="M22" s="2"/>
      <c r="O22" s="11" t="s">
        <v>277</v>
      </c>
      <c r="P22" s="2" t="s">
        <v>278</v>
      </c>
    </row>
    <row r="23" spans="2:16" x14ac:dyDescent="0.35">
      <c r="B23" s="159"/>
      <c r="C23" s="758"/>
      <c r="D23" s="744"/>
      <c r="E23" s="644"/>
      <c r="F23" s="644"/>
      <c r="G23" s="644"/>
      <c r="H23" s="644"/>
      <c r="I23" s="644"/>
      <c r="J23" s="644"/>
      <c r="K23" s="644"/>
      <c r="L23" s="645"/>
      <c r="M23" s="2"/>
    </row>
    <row r="24" spans="2:16" x14ac:dyDescent="0.35">
      <c r="B24" s="159"/>
      <c r="C24" s="758"/>
      <c r="D24" s="744"/>
      <c r="E24" s="644"/>
      <c r="F24" s="644"/>
      <c r="G24" s="644"/>
      <c r="H24" s="644"/>
      <c r="I24" s="644"/>
      <c r="J24" s="644"/>
      <c r="K24" s="644"/>
      <c r="L24" s="645"/>
      <c r="M24" s="2"/>
    </row>
    <row r="25" spans="2:16" x14ac:dyDescent="0.35">
      <c r="B25" s="159"/>
      <c r="C25" s="758"/>
      <c r="D25" s="744"/>
      <c r="E25" s="644"/>
      <c r="F25" s="644"/>
      <c r="G25" s="644"/>
      <c r="H25" s="644"/>
      <c r="I25" s="644"/>
      <c r="J25" s="644"/>
      <c r="K25" s="644"/>
      <c r="L25" s="645"/>
      <c r="M25" s="2"/>
    </row>
    <row r="26" spans="2:16" x14ac:dyDescent="0.35">
      <c r="B26" s="159"/>
      <c r="C26" s="758"/>
      <c r="D26" s="744"/>
      <c r="E26" s="644"/>
      <c r="F26" s="644"/>
      <c r="G26" s="644"/>
      <c r="H26" s="644"/>
      <c r="I26" s="644"/>
      <c r="J26" s="644"/>
      <c r="K26" s="644"/>
      <c r="L26" s="645"/>
      <c r="M26" s="2"/>
      <c r="O26" s="11"/>
    </row>
    <row r="27" spans="2:16" x14ac:dyDescent="0.35">
      <c r="B27" s="159"/>
      <c r="C27" s="758"/>
      <c r="D27" s="744"/>
      <c r="E27" s="644"/>
      <c r="F27" s="644"/>
      <c r="G27" s="644"/>
      <c r="H27" s="644"/>
      <c r="I27" s="644"/>
      <c r="J27" s="644"/>
      <c r="K27" s="644"/>
      <c r="L27" s="645"/>
      <c r="M27" s="2"/>
      <c r="O27" s="11"/>
    </row>
    <row r="28" spans="2:16" x14ac:dyDescent="0.35">
      <c r="B28" s="159"/>
      <c r="C28" s="758"/>
      <c r="D28" s="744"/>
      <c r="E28" s="644"/>
      <c r="F28" s="644"/>
      <c r="G28" s="644"/>
      <c r="H28" s="644"/>
      <c r="I28" s="644"/>
      <c r="J28" s="644"/>
      <c r="K28" s="644"/>
      <c r="L28" s="645"/>
      <c r="M28" s="2"/>
      <c r="O28" s="11"/>
    </row>
    <row r="29" spans="2:16" x14ac:dyDescent="0.35">
      <c r="B29" s="159"/>
      <c r="C29" s="758"/>
      <c r="D29" s="744"/>
      <c r="E29" s="644"/>
      <c r="F29" s="644"/>
      <c r="G29" s="644"/>
      <c r="H29" s="644"/>
      <c r="I29" s="644"/>
      <c r="J29" s="644"/>
      <c r="K29" s="644"/>
      <c r="L29" s="645"/>
      <c r="M29" s="2"/>
      <c r="O29" s="11"/>
    </row>
    <row r="30" spans="2:16" x14ac:dyDescent="0.35">
      <c r="B30" s="209"/>
      <c r="C30" s="759"/>
      <c r="D30" s="745"/>
      <c r="E30" s="746"/>
      <c r="F30" s="746"/>
      <c r="G30" s="746"/>
      <c r="H30" s="746"/>
      <c r="I30" s="746"/>
      <c r="J30" s="746"/>
      <c r="K30" s="746"/>
      <c r="L30" s="747"/>
      <c r="M30" s="2"/>
      <c r="O30" s="11"/>
    </row>
    <row r="31" spans="2:16" ht="14.25" customHeight="1" x14ac:dyDescent="0.35">
      <c r="B31" s="272" t="str">
        <f>IF(Intro!$G$21="English",O31,P31)</f>
        <v>Commentaire 3</v>
      </c>
      <c r="C31" s="757"/>
      <c r="D31" s="741"/>
      <c r="E31" s="742"/>
      <c r="F31" s="742"/>
      <c r="G31" s="742"/>
      <c r="H31" s="742"/>
      <c r="I31" s="742"/>
      <c r="J31" s="742"/>
      <c r="K31" s="742"/>
      <c r="L31" s="743"/>
      <c r="M31" s="2"/>
      <c r="O31" s="11" t="s">
        <v>279</v>
      </c>
      <c r="P31" s="2" t="s">
        <v>280</v>
      </c>
    </row>
    <row r="32" spans="2:16" x14ac:dyDescent="0.35">
      <c r="B32" s="159"/>
      <c r="C32" s="758"/>
      <c r="D32" s="744"/>
      <c r="E32" s="644"/>
      <c r="F32" s="644"/>
      <c r="G32" s="644"/>
      <c r="H32" s="644"/>
      <c r="I32" s="644"/>
      <c r="J32" s="644"/>
      <c r="K32" s="644"/>
      <c r="L32" s="645"/>
      <c r="M32" s="2"/>
    </row>
    <row r="33" spans="2:16" x14ac:dyDescent="0.35">
      <c r="B33" s="159"/>
      <c r="C33" s="758"/>
      <c r="D33" s="744"/>
      <c r="E33" s="644"/>
      <c r="F33" s="644"/>
      <c r="G33" s="644"/>
      <c r="H33" s="644"/>
      <c r="I33" s="644"/>
      <c r="J33" s="644"/>
      <c r="K33" s="644"/>
      <c r="L33" s="645"/>
      <c r="M33" s="2"/>
    </row>
    <row r="34" spans="2:16" x14ac:dyDescent="0.35">
      <c r="B34" s="159"/>
      <c r="C34" s="758"/>
      <c r="D34" s="744"/>
      <c r="E34" s="644"/>
      <c r="F34" s="644"/>
      <c r="G34" s="644"/>
      <c r="H34" s="644"/>
      <c r="I34" s="644"/>
      <c r="J34" s="644"/>
      <c r="K34" s="644"/>
      <c r="L34" s="645"/>
      <c r="M34" s="2"/>
      <c r="O34" s="11"/>
    </row>
    <row r="35" spans="2:16" x14ac:dyDescent="0.35">
      <c r="B35" s="159"/>
      <c r="C35" s="758"/>
      <c r="D35" s="744"/>
      <c r="E35" s="644"/>
      <c r="F35" s="644"/>
      <c r="G35" s="644"/>
      <c r="H35" s="644"/>
      <c r="I35" s="644"/>
      <c r="J35" s="644"/>
      <c r="K35" s="644"/>
      <c r="L35" s="645"/>
      <c r="M35" s="2"/>
      <c r="O35" s="11"/>
    </row>
    <row r="36" spans="2:16" x14ac:dyDescent="0.35">
      <c r="B36" s="159"/>
      <c r="C36" s="758"/>
      <c r="D36" s="744"/>
      <c r="E36" s="644"/>
      <c r="F36" s="644"/>
      <c r="G36" s="644"/>
      <c r="H36" s="644"/>
      <c r="I36" s="644"/>
      <c r="J36" s="644"/>
      <c r="K36" s="644"/>
      <c r="L36" s="645"/>
      <c r="M36" s="2"/>
      <c r="O36" s="11"/>
    </row>
    <row r="37" spans="2:16" x14ac:dyDescent="0.35">
      <c r="B37" s="159"/>
      <c r="C37" s="758"/>
      <c r="D37" s="744"/>
      <c r="E37" s="644"/>
      <c r="F37" s="644"/>
      <c r="G37" s="644"/>
      <c r="H37" s="644"/>
      <c r="I37" s="644"/>
      <c r="J37" s="644"/>
      <c r="K37" s="644"/>
      <c r="L37" s="645"/>
      <c r="M37" s="2"/>
      <c r="O37" s="11"/>
    </row>
    <row r="38" spans="2:16" x14ac:dyDescent="0.35">
      <c r="B38" s="159"/>
      <c r="C38" s="758"/>
      <c r="D38" s="744"/>
      <c r="E38" s="644"/>
      <c r="F38" s="644"/>
      <c r="G38" s="644"/>
      <c r="H38" s="644"/>
      <c r="I38" s="644"/>
      <c r="J38" s="644"/>
      <c r="K38" s="644"/>
      <c r="L38" s="645"/>
      <c r="M38" s="2"/>
      <c r="O38" s="11"/>
    </row>
    <row r="39" spans="2:16" x14ac:dyDescent="0.35">
      <c r="B39" s="209"/>
      <c r="C39" s="759"/>
      <c r="D39" s="745"/>
      <c r="E39" s="746"/>
      <c r="F39" s="746"/>
      <c r="G39" s="746"/>
      <c r="H39" s="746"/>
      <c r="I39" s="746"/>
      <c r="J39" s="746"/>
      <c r="K39" s="746"/>
      <c r="L39" s="747"/>
      <c r="M39" s="2"/>
      <c r="O39" s="11"/>
    </row>
    <row r="40" spans="2:16" ht="14.25" customHeight="1" x14ac:dyDescent="0.35">
      <c r="B40" s="272" t="str">
        <f>IF(Intro!$G$21="English",O40,P40)</f>
        <v>Commentaire 4</v>
      </c>
      <c r="C40" s="757"/>
      <c r="D40" s="741"/>
      <c r="E40" s="742"/>
      <c r="F40" s="742"/>
      <c r="G40" s="742"/>
      <c r="H40" s="742"/>
      <c r="I40" s="742"/>
      <c r="J40" s="742"/>
      <c r="K40" s="742"/>
      <c r="L40" s="743"/>
      <c r="M40" s="2"/>
      <c r="O40" s="11" t="s">
        <v>281</v>
      </c>
      <c r="P40" s="2" t="s">
        <v>282</v>
      </c>
    </row>
    <row r="41" spans="2:16" x14ac:dyDescent="0.35">
      <c r="B41" s="159"/>
      <c r="C41" s="758"/>
      <c r="D41" s="744"/>
      <c r="E41" s="644"/>
      <c r="F41" s="644"/>
      <c r="G41" s="644"/>
      <c r="H41" s="644"/>
      <c r="I41" s="644"/>
      <c r="J41" s="644"/>
      <c r="K41" s="644"/>
      <c r="L41" s="645"/>
      <c r="M41" s="2"/>
    </row>
    <row r="42" spans="2:16" x14ac:dyDescent="0.35">
      <c r="B42" s="159"/>
      <c r="C42" s="758"/>
      <c r="D42" s="744"/>
      <c r="E42" s="644"/>
      <c r="F42" s="644"/>
      <c r="G42" s="644"/>
      <c r="H42" s="644"/>
      <c r="I42" s="644"/>
      <c r="J42" s="644"/>
      <c r="K42" s="644"/>
      <c r="L42" s="645"/>
      <c r="M42" s="2"/>
      <c r="O42" s="11"/>
    </row>
    <row r="43" spans="2:16" x14ac:dyDescent="0.35">
      <c r="B43" s="159"/>
      <c r="C43" s="758"/>
      <c r="D43" s="744"/>
      <c r="E43" s="644"/>
      <c r="F43" s="644"/>
      <c r="G43" s="644"/>
      <c r="H43" s="644"/>
      <c r="I43" s="644"/>
      <c r="J43" s="644"/>
      <c r="K43" s="644"/>
      <c r="L43" s="645"/>
      <c r="M43" s="2"/>
      <c r="O43" s="11"/>
    </row>
    <row r="44" spans="2:16" x14ac:dyDescent="0.35">
      <c r="B44" s="159"/>
      <c r="C44" s="758"/>
      <c r="D44" s="744"/>
      <c r="E44" s="644"/>
      <c r="F44" s="644"/>
      <c r="G44" s="644"/>
      <c r="H44" s="644"/>
      <c r="I44" s="644"/>
      <c r="J44" s="644"/>
      <c r="K44" s="644"/>
      <c r="L44" s="645"/>
      <c r="M44" s="2"/>
      <c r="O44" s="11"/>
    </row>
    <row r="45" spans="2:16" x14ac:dyDescent="0.35">
      <c r="B45" s="159"/>
      <c r="C45" s="758"/>
      <c r="D45" s="744"/>
      <c r="E45" s="644"/>
      <c r="F45" s="644"/>
      <c r="G45" s="644"/>
      <c r="H45" s="644"/>
      <c r="I45" s="644"/>
      <c r="J45" s="644"/>
      <c r="K45" s="644"/>
      <c r="L45" s="645"/>
      <c r="M45" s="2"/>
      <c r="O45" s="11"/>
    </row>
    <row r="46" spans="2:16" x14ac:dyDescent="0.35">
      <c r="B46" s="159"/>
      <c r="C46" s="758"/>
      <c r="D46" s="744"/>
      <c r="E46" s="644"/>
      <c r="F46" s="644"/>
      <c r="G46" s="644"/>
      <c r="H46" s="644"/>
      <c r="I46" s="644"/>
      <c r="J46" s="644"/>
      <c r="K46" s="644"/>
      <c r="L46" s="645"/>
      <c r="M46" s="2"/>
      <c r="O46" s="11"/>
    </row>
    <row r="47" spans="2:16" x14ac:dyDescent="0.35">
      <c r="B47" s="159"/>
      <c r="C47" s="758"/>
      <c r="D47" s="744"/>
      <c r="E47" s="644"/>
      <c r="F47" s="644"/>
      <c r="G47" s="644"/>
      <c r="H47" s="644"/>
      <c r="I47" s="644"/>
      <c r="J47" s="644"/>
      <c r="K47" s="644"/>
      <c r="L47" s="645"/>
      <c r="M47" s="2"/>
      <c r="O47" s="11"/>
    </row>
    <row r="48" spans="2:16" x14ac:dyDescent="0.35">
      <c r="B48" s="209"/>
      <c r="C48" s="759"/>
      <c r="D48" s="745"/>
      <c r="E48" s="746"/>
      <c r="F48" s="746"/>
      <c r="G48" s="746"/>
      <c r="H48" s="746"/>
      <c r="I48" s="746"/>
      <c r="J48" s="746"/>
      <c r="K48" s="746"/>
      <c r="L48" s="747"/>
      <c r="M48" s="2"/>
      <c r="O48" s="11"/>
    </row>
    <row r="49" spans="1:16" ht="14.25" customHeight="1" x14ac:dyDescent="0.35">
      <c r="B49" s="272" t="str">
        <f>IF(Intro!$G$21="English",O49,P49)</f>
        <v>Commentaire 5</v>
      </c>
      <c r="C49" s="757"/>
      <c r="D49" s="741"/>
      <c r="E49" s="742"/>
      <c r="F49" s="742"/>
      <c r="G49" s="742"/>
      <c r="H49" s="742"/>
      <c r="I49" s="742"/>
      <c r="J49" s="742"/>
      <c r="K49" s="742"/>
      <c r="L49" s="743"/>
      <c r="M49" s="2"/>
      <c r="O49" s="11" t="s">
        <v>283</v>
      </c>
      <c r="P49" s="2" t="s">
        <v>284</v>
      </c>
    </row>
    <row r="50" spans="1:16" x14ac:dyDescent="0.35">
      <c r="B50" s="159"/>
      <c r="C50" s="758"/>
      <c r="D50" s="744"/>
      <c r="E50" s="644"/>
      <c r="F50" s="644"/>
      <c r="G50" s="644"/>
      <c r="H50" s="644"/>
      <c r="I50" s="644"/>
      <c r="J50" s="644"/>
      <c r="K50" s="644"/>
      <c r="L50" s="645"/>
      <c r="M50" s="2"/>
      <c r="O50" s="11"/>
    </row>
    <row r="51" spans="1:16" x14ac:dyDescent="0.35">
      <c r="B51" s="159"/>
      <c r="C51" s="758"/>
      <c r="D51" s="744"/>
      <c r="E51" s="644"/>
      <c r="F51" s="644"/>
      <c r="G51" s="644"/>
      <c r="H51" s="644"/>
      <c r="I51" s="644"/>
      <c r="J51" s="644"/>
      <c r="K51" s="644"/>
      <c r="L51" s="645"/>
      <c r="M51" s="2"/>
      <c r="O51" s="11"/>
    </row>
    <row r="52" spans="1:16" x14ac:dyDescent="0.35">
      <c r="B52" s="159"/>
      <c r="C52" s="758"/>
      <c r="D52" s="744"/>
      <c r="E52" s="644"/>
      <c r="F52" s="644"/>
      <c r="G52" s="644"/>
      <c r="H52" s="644"/>
      <c r="I52" s="644"/>
      <c r="J52" s="644"/>
      <c r="K52" s="644"/>
      <c r="L52" s="645"/>
      <c r="M52" s="2"/>
      <c r="O52" s="11"/>
    </row>
    <row r="53" spans="1:16" x14ac:dyDescent="0.35">
      <c r="B53" s="159"/>
      <c r="C53" s="758"/>
      <c r="D53" s="744"/>
      <c r="E53" s="644"/>
      <c r="F53" s="644"/>
      <c r="G53" s="644"/>
      <c r="H53" s="644"/>
      <c r="I53" s="644"/>
      <c r="J53" s="644"/>
      <c r="K53" s="644"/>
      <c r="L53" s="645"/>
      <c r="M53" s="2"/>
      <c r="O53" s="11"/>
    </row>
    <row r="54" spans="1:16" x14ac:dyDescent="0.35">
      <c r="B54" s="159"/>
      <c r="C54" s="758"/>
      <c r="D54" s="744"/>
      <c r="E54" s="644"/>
      <c r="F54" s="644"/>
      <c r="G54" s="644"/>
      <c r="H54" s="644"/>
      <c r="I54" s="644"/>
      <c r="J54" s="644"/>
      <c r="K54" s="644"/>
      <c r="L54" s="645"/>
      <c r="M54" s="2"/>
      <c r="O54" s="11"/>
    </row>
    <row r="55" spans="1:16" x14ac:dyDescent="0.35">
      <c r="B55" s="159"/>
      <c r="C55" s="758"/>
      <c r="D55" s="744"/>
      <c r="E55" s="644"/>
      <c r="F55" s="644"/>
      <c r="G55" s="644"/>
      <c r="H55" s="644"/>
      <c r="I55" s="644"/>
      <c r="J55" s="644"/>
      <c r="K55" s="644"/>
      <c r="L55" s="645"/>
      <c r="M55" s="2"/>
      <c r="O55" s="11"/>
    </row>
    <row r="56" spans="1:16" x14ac:dyDescent="0.35">
      <c r="B56" s="159"/>
      <c r="C56" s="758"/>
      <c r="D56" s="744"/>
      <c r="E56" s="644"/>
      <c r="F56" s="644"/>
      <c r="G56" s="644"/>
      <c r="H56" s="644"/>
      <c r="I56" s="644"/>
      <c r="J56" s="644"/>
      <c r="K56" s="644"/>
      <c r="L56" s="645"/>
      <c r="M56" s="2"/>
      <c r="O56" s="11"/>
    </row>
    <row r="57" spans="1:16" s="156" customFormat="1" x14ac:dyDescent="0.35">
      <c r="A57" s="179"/>
      <c r="B57" s="36"/>
      <c r="C57" s="759"/>
      <c r="D57" s="748"/>
      <c r="E57" s="749"/>
      <c r="F57" s="749"/>
      <c r="G57" s="749"/>
      <c r="H57" s="749"/>
      <c r="I57" s="749"/>
      <c r="J57" s="749"/>
      <c r="K57" s="749"/>
      <c r="L57" s="750"/>
      <c r="N57" s="181"/>
    </row>
  </sheetData>
  <sheetProtection algorithmName="SHA-512" hashValue="q2y39xjtvFruOlgNiJjWlRWda9PJgwEQa7HgCsuBKj7YnEb41y4EoBAl6MoipjNCE1JN+0k1DWoRdJfUJ3axIA==" saltValue="9R6Jvur54aDwHhhBtM9Jmg==" spinCount="100000" sheet="1" objects="1" scenarios="1" selectLockedCells="1"/>
  <mergeCells count="17">
    <mergeCell ref="D40:L48"/>
    <mergeCell ref="D49:L57"/>
    <mergeCell ref="D12:L12"/>
    <mergeCell ref="B13:B21"/>
    <mergeCell ref="D13:L21"/>
    <mergeCell ref="D22:L30"/>
    <mergeCell ref="D31:L39"/>
    <mergeCell ref="C13:C21"/>
    <mergeCell ref="C22:C30"/>
    <mergeCell ref="C31:C39"/>
    <mergeCell ref="C40:C48"/>
    <mergeCell ref="C49:C57"/>
    <mergeCell ref="B4:L4"/>
    <mergeCell ref="B5:L5"/>
    <mergeCell ref="B6:L6"/>
    <mergeCell ref="B10:L10"/>
    <mergeCell ref="B8:L8"/>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89-61BB-4065-83F8-7BF3C287F5CE}">
  <sheetPr>
    <tabColor rgb="FF92D050"/>
    <pageSetUpPr fitToPage="1"/>
  </sheetPr>
  <dimension ref="A1:Q112"/>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8" width="9.08984375" style="2" customWidth="1"/>
    <col min="19" max="16384" width="9.08984375" style="2"/>
  </cols>
  <sheetData>
    <row r="1" spans="1:16" x14ac:dyDescent="0.35">
      <c r="O1" s="2" t="s">
        <v>715</v>
      </c>
      <c r="P1" s="2" t="s">
        <v>715</v>
      </c>
    </row>
    <row r="2" spans="1:16" x14ac:dyDescent="0.35">
      <c r="B2" s="20" t="str">
        <f>IF(Intro!$G$21="English",O3,P3)</f>
        <v>PROTÉGÉ</v>
      </c>
      <c r="C2" s="20"/>
      <c r="D2" s="20"/>
      <c r="O2" s="3" t="s">
        <v>164</v>
      </c>
      <c r="P2" s="3" t="s">
        <v>165</v>
      </c>
    </row>
    <row r="3" spans="1:16" x14ac:dyDescent="0.35">
      <c r="B3" s="21"/>
      <c r="C3" s="21"/>
      <c r="D3" s="21"/>
      <c r="O3" s="198" t="s">
        <v>645</v>
      </c>
      <c r="P3" s="198" t="s">
        <v>646</v>
      </c>
    </row>
    <row r="4" spans="1:16" s="8" customFormat="1" x14ac:dyDescent="0.35">
      <c r="A4" s="13"/>
      <c r="B4" s="614" t="str">
        <f>Info!B4</f>
        <v>QUESTIONNAIRE À L’INTENTION DES PRODUCTEURS</v>
      </c>
      <c r="C4" s="615"/>
      <c r="D4" s="615"/>
      <c r="E4" s="615"/>
      <c r="F4" s="615"/>
      <c r="G4" s="615"/>
      <c r="H4" s="615"/>
      <c r="I4" s="615"/>
      <c r="J4" s="615"/>
      <c r="K4" s="615"/>
      <c r="L4" s="616"/>
      <c r="M4" s="6"/>
      <c r="N4" s="6"/>
      <c r="O4" s="7"/>
      <c r="P4" s="7"/>
    </row>
    <row r="5" spans="1:16" s="8" customFormat="1" x14ac:dyDescent="0.35">
      <c r="A5" s="13"/>
      <c r="B5" s="617" t="str">
        <f>Info!B5</f>
        <v>NQ-2026-003</v>
      </c>
      <c r="C5" s="618"/>
      <c r="D5" s="618"/>
      <c r="E5" s="618"/>
      <c r="F5" s="618"/>
      <c r="G5" s="618"/>
      <c r="H5" s="618"/>
      <c r="I5" s="618"/>
      <c r="J5" s="618"/>
      <c r="K5" s="618"/>
      <c r="L5" s="619"/>
      <c r="M5" s="6"/>
      <c r="N5" s="6"/>
      <c r="O5" s="7"/>
      <c r="P5" s="7"/>
    </row>
    <row r="6" spans="1:16" s="9" customFormat="1" x14ac:dyDescent="0.35">
      <c r="A6" s="13"/>
      <c r="B6" s="617" t="str">
        <f>Info!B6</f>
        <v>CÂBLES DE BÂTIMENTS NON ARMÉS</v>
      </c>
      <c r="C6" s="618"/>
      <c r="D6" s="618"/>
      <c r="E6" s="618"/>
      <c r="F6" s="618"/>
      <c r="G6" s="618"/>
      <c r="H6" s="618"/>
      <c r="I6" s="618"/>
      <c r="J6" s="618"/>
      <c r="K6" s="618"/>
      <c r="L6" s="619"/>
      <c r="M6" s="14"/>
      <c r="N6" s="14"/>
      <c r="O6" s="10"/>
      <c r="P6" s="10"/>
    </row>
    <row r="7" spans="1:16" s="9" customFormat="1" x14ac:dyDescent="0.35">
      <c r="A7" s="13"/>
      <c r="B7" s="242"/>
      <c r="C7" s="28"/>
      <c r="D7" s="28"/>
      <c r="E7" s="28"/>
      <c r="F7" s="28"/>
      <c r="G7" s="28"/>
      <c r="H7" s="28"/>
      <c r="I7" s="28"/>
      <c r="J7" s="28"/>
      <c r="K7" s="28"/>
      <c r="L7" s="243"/>
      <c r="M7" s="14"/>
      <c r="N7" s="14"/>
      <c r="O7" s="5"/>
    </row>
    <row r="8" spans="1:16" s="9" customFormat="1" x14ac:dyDescent="0.35">
      <c r="A8" s="13"/>
      <c r="B8" s="722" t="str">
        <f>Public!B8</f>
        <v>Les questions suivantes font référence aux marchandises comme définies dans la description du produit de l'onglet Intro.</v>
      </c>
      <c r="C8" s="723"/>
      <c r="D8" s="723"/>
      <c r="E8" s="723"/>
      <c r="F8" s="723"/>
      <c r="G8" s="723"/>
      <c r="H8" s="723"/>
      <c r="I8" s="723"/>
      <c r="J8" s="723"/>
      <c r="K8" s="723"/>
      <c r="L8" s="724"/>
      <c r="M8" s="14"/>
      <c r="N8" s="14"/>
      <c r="O8" s="10"/>
      <c r="P8" s="10"/>
    </row>
    <row r="9" spans="1:16" s="9" customFormat="1" x14ac:dyDescent="0.35">
      <c r="A9" s="13"/>
      <c r="B9" s="722" t="str">
        <f>Public!B9</f>
        <v>Des informations sur le produit et un glossaire de termes sont disponibles dans l'onglet Info.</v>
      </c>
      <c r="C9" s="723"/>
      <c r="D9" s="723"/>
      <c r="E9" s="723"/>
      <c r="F9" s="723"/>
      <c r="G9" s="723"/>
      <c r="H9" s="723"/>
      <c r="I9" s="723"/>
      <c r="J9" s="723"/>
      <c r="K9" s="723"/>
      <c r="L9" s="724"/>
      <c r="M9" s="14"/>
      <c r="N9" s="14"/>
      <c r="O9" s="10"/>
    </row>
    <row r="10" spans="1:16" s="9" customFormat="1" x14ac:dyDescent="0.35">
      <c r="A10" s="13"/>
      <c r="B10" s="725" t="str">
        <f>IF(Intro!$G$21="English",O10,P10)</f>
        <v xml:space="preserve">Utilisez l'onglet AddPro si vous avez besoin de plus d'espace.
</v>
      </c>
      <c r="C10" s="726"/>
      <c r="D10" s="726"/>
      <c r="E10" s="726"/>
      <c r="F10" s="726"/>
      <c r="G10" s="726"/>
      <c r="H10" s="726"/>
      <c r="I10" s="726"/>
      <c r="J10" s="726"/>
      <c r="K10" s="726"/>
      <c r="L10" s="727"/>
      <c r="M10" s="14"/>
      <c r="N10" s="14"/>
      <c r="O10" s="10" t="s">
        <v>176</v>
      </c>
      <c r="P10" s="10" t="str">
        <f>"Utilisez l'onglet AddPro si vous avez besoin de plus d'espace."&amp;CHAR(10)</f>
        <v xml:space="preserve">Utilisez l'onglet AddPro si vous avez besoin de plus d'espace.
</v>
      </c>
    </row>
    <row r="11" spans="1:16" s="9" customFormat="1" x14ac:dyDescent="0.35">
      <c r="A11" s="13"/>
      <c r="B11" s="22"/>
      <c r="C11" s="22"/>
      <c r="D11" s="22"/>
      <c r="E11" s="23"/>
      <c r="F11" s="23"/>
      <c r="G11" s="23"/>
      <c r="H11" s="23"/>
      <c r="I11" s="23"/>
      <c r="J11" s="23"/>
      <c r="K11" s="23"/>
      <c r="L11" s="23"/>
      <c r="O11" s="10"/>
      <c r="P11" s="10"/>
    </row>
    <row r="12" spans="1:16" x14ac:dyDescent="0.35">
      <c r="B12" s="599" t="str">
        <f>IF(Intro!$G$21="English",O12,P12)</f>
        <v>PRODUCTION ET CAPACITÉ</v>
      </c>
      <c r="C12" s="600"/>
      <c r="D12" s="600"/>
      <c r="E12" s="600"/>
      <c r="F12" s="600"/>
      <c r="G12" s="600"/>
      <c r="H12" s="600"/>
      <c r="I12" s="600"/>
      <c r="J12" s="600"/>
      <c r="K12" s="600"/>
      <c r="L12" s="601"/>
      <c r="M12" s="152"/>
      <c r="O12" s="198" t="s">
        <v>637</v>
      </c>
      <c r="P12" s="198" t="s">
        <v>638</v>
      </c>
    </row>
    <row r="13" spans="1:16" x14ac:dyDescent="0.35">
      <c r="B13" s="728" t="s">
        <v>20</v>
      </c>
      <c r="C13" s="729"/>
      <c r="D13" s="729"/>
      <c r="E13" s="729"/>
      <c r="F13" s="729"/>
      <c r="G13" s="729"/>
      <c r="H13" s="729"/>
      <c r="I13" s="729"/>
      <c r="J13" s="729"/>
      <c r="K13" s="729"/>
      <c r="L13" s="730"/>
      <c r="M13" s="2"/>
    </row>
    <row r="14" spans="1:16" x14ac:dyDescent="0.35">
      <c r="B14" s="24"/>
      <c r="C14" s="25"/>
      <c r="D14" s="25"/>
      <c r="E14" s="26"/>
      <c r="F14" s="26"/>
      <c r="G14" s="26"/>
      <c r="H14" s="26"/>
      <c r="I14" s="26"/>
      <c r="J14" s="26"/>
      <c r="K14" s="26"/>
      <c r="L14" s="27"/>
      <c r="M14" s="2"/>
    </row>
    <row r="15" spans="1:16" ht="14" customHeight="1" x14ac:dyDescent="0.35">
      <c r="B15" s="780" t="str">
        <f>IF(Intro!$G$21="English",O15,P15)</f>
        <v>Remplir le tableau suivant pour la production des marchandises par votre entreprise et d'autres produits fabriqués sur le même équipement au Canada. 
Remarque : les autres produits fabriqués sur le même équipement sont tous les autres produits autres que les marchandises définies dans l'onglet « Intro » qui sont fabriqués à l'aide du même équipement.</v>
      </c>
      <c r="C15" s="781"/>
      <c r="D15" s="781"/>
      <c r="E15" s="781"/>
      <c r="F15" s="781"/>
      <c r="G15" s="781"/>
      <c r="H15" s="781"/>
      <c r="I15" s="781"/>
      <c r="J15" s="781"/>
      <c r="K15" s="781"/>
      <c r="L15" s="782"/>
      <c r="M15" s="2"/>
      <c r="O15" s="11" t="s">
        <v>663</v>
      </c>
      <c r="P15" s="2" t="s">
        <v>696</v>
      </c>
    </row>
    <row r="16" spans="1:16" x14ac:dyDescent="0.35">
      <c r="B16" s="780"/>
      <c r="C16" s="781"/>
      <c r="D16" s="781"/>
      <c r="E16" s="781"/>
      <c r="F16" s="781"/>
      <c r="G16" s="781"/>
      <c r="H16" s="781"/>
      <c r="I16" s="781"/>
      <c r="J16" s="781"/>
      <c r="K16" s="781"/>
      <c r="L16" s="782"/>
      <c r="M16" s="2"/>
      <c r="O16" s="11"/>
    </row>
    <row r="17" spans="1:17" x14ac:dyDescent="0.35">
      <c r="B17" s="780"/>
      <c r="C17" s="781"/>
      <c r="D17" s="781"/>
      <c r="E17" s="781"/>
      <c r="F17" s="781"/>
      <c r="G17" s="781"/>
      <c r="H17" s="781"/>
      <c r="I17" s="781"/>
      <c r="J17" s="781"/>
      <c r="K17" s="781"/>
      <c r="L17" s="782"/>
      <c r="M17" s="2"/>
      <c r="O17" s="11"/>
    </row>
    <row r="18" spans="1:17" x14ac:dyDescent="0.35">
      <c r="B18" s="159"/>
      <c r="C18" s="160"/>
      <c r="D18" s="25"/>
      <c r="E18" s="26"/>
      <c r="F18" s="26"/>
      <c r="G18" s="26"/>
      <c r="H18" s="26"/>
      <c r="I18" s="26"/>
      <c r="J18" s="26"/>
      <c r="K18" s="26"/>
      <c r="L18" s="27"/>
      <c r="M18" s="2"/>
      <c r="O18" s="11"/>
    </row>
    <row r="19" spans="1:17" x14ac:dyDescent="0.35">
      <c r="B19" s="159"/>
      <c r="C19" s="160"/>
      <c r="D19" s="2"/>
      <c r="E19" s="2"/>
      <c r="F19" s="25"/>
      <c r="G19" s="769">
        <f>Variables!B6</f>
        <v>2023</v>
      </c>
      <c r="H19" s="769">
        <f>G19+1</f>
        <v>2024</v>
      </c>
      <c r="I19" s="769">
        <f>H19+1</f>
        <v>2025</v>
      </c>
      <c r="J19" s="769" t="str">
        <f>IF(Intro!$G$21="English",Variables!B9,Variables!C9)</f>
        <v>janv.-mars 2025</v>
      </c>
      <c r="K19" s="769" t="str">
        <f>IF(Intro!$G$21="English",Variables!B10,Variables!C10)</f>
        <v>janv.-mars 2026</v>
      </c>
      <c r="L19" s="178"/>
      <c r="M19" s="2"/>
      <c r="O19" s="11"/>
    </row>
    <row r="20" spans="1:17" x14ac:dyDescent="0.35">
      <c r="B20" s="159"/>
      <c r="C20" s="160"/>
      <c r="D20" s="2"/>
      <c r="E20" s="2"/>
      <c r="F20" s="25"/>
      <c r="G20" s="769"/>
      <c r="H20" s="769"/>
      <c r="I20" s="769"/>
      <c r="J20" s="769"/>
      <c r="K20" s="769"/>
      <c r="L20" s="178"/>
      <c r="M20" s="2"/>
      <c r="O20" s="11"/>
    </row>
    <row r="21" spans="1:17" s="152" customFormat="1" x14ac:dyDescent="0.35">
      <c r="A21" s="172"/>
      <c r="B21" s="766" t="str">
        <f>IF(Intro!$G$21="English",O21,P21)</f>
        <v>Production pour les ventes au Canada</v>
      </c>
      <c r="C21" s="767"/>
      <c r="D21" s="767"/>
      <c r="E21" s="768"/>
      <c r="F21" s="205" t="str">
        <f>IF(Intro!$G$21="English",Variables!$B$23,Variables!$C$23)</f>
        <v>mètres</v>
      </c>
      <c r="G21" s="245"/>
      <c r="H21" s="245"/>
      <c r="I21" s="245"/>
      <c r="J21" s="245"/>
      <c r="K21" s="245"/>
      <c r="L21" s="178"/>
      <c r="O21" s="157" t="s">
        <v>178</v>
      </c>
      <c r="P21" s="157" t="s">
        <v>177</v>
      </c>
      <c r="Q21" s="157"/>
    </row>
    <row r="22" spans="1:17" s="152" customFormat="1" x14ac:dyDescent="0.35">
      <c r="A22" s="172"/>
      <c r="B22" s="766" t="str">
        <f>IF(Intro!$G$21="English",O22,P22)</f>
        <v>Production pour les ventes à l'exportation</v>
      </c>
      <c r="C22" s="767"/>
      <c r="D22" s="767"/>
      <c r="E22" s="768"/>
      <c r="F22" s="205" t="str">
        <f>IF(Intro!$G$21="English",Variables!$B$23,Variables!$C$23)</f>
        <v>mètres</v>
      </c>
      <c r="G22" s="245"/>
      <c r="H22" s="245"/>
      <c r="I22" s="245"/>
      <c r="J22" s="245"/>
      <c r="K22" s="245"/>
      <c r="L22" s="178"/>
      <c r="O22" s="157" t="s">
        <v>179</v>
      </c>
      <c r="P22" s="157" t="s">
        <v>180</v>
      </c>
      <c r="Q22" s="157"/>
    </row>
    <row r="23" spans="1:17" s="157" customFormat="1" ht="14.25" customHeight="1" x14ac:dyDescent="0.35">
      <c r="A23" s="210"/>
      <c r="B23" s="770" t="str">
        <f>IF(Intro!$G$21="English",O23,P23)</f>
        <v>Production utilisée à l'interne ou destinée à la transformation ultérieure à l’interne</v>
      </c>
      <c r="C23" s="771"/>
      <c r="D23" s="771"/>
      <c r="E23" s="772"/>
      <c r="F23" s="778" t="str">
        <f>IF(Intro!$G$21="English",Variables!$B$23,Variables!$C$23)</f>
        <v>mètres</v>
      </c>
      <c r="G23" s="776"/>
      <c r="H23" s="776"/>
      <c r="I23" s="776"/>
      <c r="J23" s="776"/>
      <c r="K23" s="776"/>
      <c r="L23" s="188"/>
      <c r="O23" s="157" t="s">
        <v>181</v>
      </c>
      <c r="P23" s="157" t="s">
        <v>411</v>
      </c>
    </row>
    <row r="24" spans="1:17" s="157" customFormat="1" ht="14.25" customHeight="1" x14ac:dyDescent="0.35">
      <c r="A24" s="210"/>
      <c r="B24" s="773"/>
      <c r="C24" s="774"/>
      <c r="D24" s="774"/>
      <c r="E24" s="775"/>
      <c r="F24" s="779"/>
      <c r="G24" s="777"/>
      <c r="H24" s="777"/>
      <c r="I24" s="777"/>
      <c r="J24" s="777"/>
      <c r="K24" s="777"/>
      <c r="L24" s="188"/>
    </row>
    <row r="25" spans="1:17" s="191" customFormat="1" x14ac:dyDescent="0.35">
      <c r="A25" s="190" t="s">
        <v>554</v>
      </c>
      <c r="B25" s="763" t="str">
        <f>IF(Intro!$G$21="English",O25,P25)</f>
        <v>Production totale des marchandises</v>
      </c>
      <c r="C25" s="764"/>
      <c r="D25" s="764"/>
      <c r="E25" s="765"/>
      <c r="F25" s="211" t="str">
        <f>IF(Intro!$G$21="English",Variables!$B$23,Variables!$C$23)</f>
        <v>mètres</v>
      </c>
      <c r="G25" s="246">
        <f>SUM(G21:G23)</f>
        <v>0</v>
      </c>
      <c r="H25" s="246">
        <f>SUM(H21:H23)</f>
        <v>0</v>
      </c>
      <c r="I25" s="246">
        <f>SUM(I21:I23)</f>
        <v>0</v>
      </c>
      <c r="J25" s="246">
        <f>SUM(J21:J23)</f>
        <v>0</v>
      </c>
      <c r="K25" s="246">
        <f>SUM(K21:K23)</f>
        <v>0</v>
      </c>
      <c r="L25" s="178"/>
      <c r="O25" s="199" t="s">
        <v>128</v>
      </c>
      <c r="P25" s="199" t="s">
        <v>129</v>
      </c>
      <c r="Q25" s="199"/>
    </row>
    <row r="26" spans="1:17" s="152" customFormat="1" ht="14.25" customHeight="1" x14ac:dyDescent="0.35">
      <c r="A26" s="172"/>
      <c r="B26" s="766" t="str">
        <f>IF(Intro!$G$21="English",O26,P26)</f>
        <v>Production d'autres produits fabriqués avec le même équipement</v>
      </c>
      <c r="C26" s="767"/>
      <c r="D26" s="767"/>
      <c r="E26" s="768"/>
      <c r="F26" s="205" t="str">
        <f>IF(Intro!$G$21="English",Variables!$B$23,Variables!$C$23)</f>
        <v>mètres</v>
      </c>
      <c r="G26" s="245"/>
      <c r="H26" s="245"/>
      <c r="I26" s="245"/>
      <c r="J26" s="245"/>
      <c r="K26" s="245"/>
      <c r="L26" s="178"/>
      <c r="O26" s="157" t="s">
        <v>182</v>
      </c>
      <c r="P26" s="157" t="s">
        <v>183</v>
      </c>
      <c r="Q26" s="157"/>
    </row>
    <row r="27" spans="1:17" s="191" customFormat="1" x14ac:dyDescent="0.35">
      <c r="A27" s="190"/>
      <c r="B27" s="763" t="str">
        <f>IF(Intro!$G$21="English",O27,P27)</f>
        <v>Total</v>
      </c>
      <c r="C27" s="764"/>
      <c r="D27" s="764"/>
      <c r="E27" s="765"/>
      <c r="F27" s="211" t="str">
        <f>IF(Intro!$G$21="English",Variables!$B$23,Variables!$C$23)</f>
        <v>mètres</v>
      </c>
      <c r="G27" s="246">
        <f>SUM(G25,G26)</f>
        <v>0</v>
      </c>
      <c r="H27" s="246">
        <f>SUM(H25,H26)</f>
        <v>0</v>
      </c>
      <c r="I27" s="246">
        <f>SUM(I25,I26)</f>
        <v>0</v>
      </c>
      <c r="J27" s="246">
        <f>SUM(J25,J26)</f>
        <v>0</v>
      </c>
      <c r="K27" s="246">
        <f>SUM(K25,K26)</f>
        <v>0</v>
      </c>
      <c r="L27" s="178"/>
      <c r="O27" s="199" t="s">
        <v>45</v>
      </c>
      <c r="P27" s="199" t="s">
        <v>45</v>
      </c>
      <c r="Q27" s="199"/>
    </row>
    <row r="28" spans="1:17" s="152" customFormat="1" x14ac:dyDescent="0.35">
      <c r="A28" s="172"/>
      <c r="B28" s="766" t="str">
        <f>IF(Intro!$G$21="English",O28,P28)</f>
        <v>Capacité pratique des usines</v>
      </c>
      <c r="C28" s="767"/>
      <c r="D28" s="767"/>
      <c r="E28" s="768"/>
      <c r="F28" s="205" t="str">
        <f>IF(Intro!$G$21="English",Variables!$B$23,Variables!$C$23)</f>
        <v>mètres</v>
      </c>
      <c r="G28" s="245"/>
      <c r="H28" s="245"/>
      <c r="I28" s="245"/>
      <c r="J28" s="245"/>
      <c r="K28" s="245"/>
      <c r="L28" s="178"/>
      <c r="O28" s="157" t="s">
        <v>372</v>
      </c>
      <c r="P28" s="157" t="s">
        <v>189</v>
      </c>
      <c r="Q28" s="157"/>
    </row>
    <row r="29" spans="1:17" s="191" customFormat="1" x14ac:dyDescent="0.35">
      <c r="A29" s="190"/>
      <c r="B29" s="763" t="str">
        <f>IF(Intro!$G$21="English",O29,P29)</f>
        <v>Taux d'utilisation des capacités des marchandises</v>
      </c>
      <c r="C29" s="764"/>
      <c r="D29" s="764"/>
      <c r="E29" s="765"/>
      <c r="F29" s="211" t="s">
        <v>186</v>
      </c>
      <c r="G29" s="246" t="str">
        <f>IF(G28=0,"-",G25/G28*100)</f>
        <v>-</v>
      </c>
      <c r="H29" s="246" t="str">
        <f>IF(H28=0,"-",H25/H28*100)</f>
        <v>-</v>
      </c>
      <c r="I29" s="246" t="str">
        <f>IF(I28=0,"-",I25/I28*100)</f>
        <v>-</v>
      </c>
      <c r="J29" s="246" t="str">
        <f>IF(J28=0,"-",J25/J28*100)</f>
        <v>-</v>
      </c>
      <c r="K29" s="246" t="str">
        <f>IF(K28=0,"-",K25/K28*100)</f>
        <v>-</v>
      </c>
      <c r="L29" s="178"/>
      <c r="O29" s="199" t="s">
        <v>184</v>
      </c>
      <c r="P29" s="199" t="s">
        <v>185</v>
      </c>
      <c r="Q29" s="199"/>
    </row>
    <row r="30" spans="1:17" s="191" customFormat="1" x14ac:dyDescent="0.35">
      <c r="A30" s="190"/>
      <c r="B30" s="763" t="str">
        <f>IF(Intro!$G$21="English",O30,P30)</f>
        <v>Taux d'utilisation total des capacités</v>
      </c>
      <c r="C30" s="764"/>
      <c r="D30" s="764"/>
      <c r="E30" s="765"/>
      <c r="F30" s="211" t="s">
        <v>186</v>
      </c>
      <c r="G30" s="246" t="str">
        <f>IF(G28=0,"-",G27/G28*100)</f>
        <v>-</v>
      </c>
      <c r="H30" s="246" t="str">
        <f t="shared" ref="H30:I30" si="0">IF(H28=0,"-",H27/H28*100)</f>
        <v>-</v>
      </c>
      <c r="I30" s="246" t="str">
        <f t="shared" si="0"/>
        <v>-</v>
      </c>
      <c r="J30" s="246" t="str">
        <f t="shared" ref="J30:K30" si="1">IF(J28=0,"-",J27/J28*100)</f>
        <v>-</v>
      </c>
      <c r="K30" s="246" t="str">
        <f t="shared" si="1"/>
        <v>-</v>
      </c>
      <c r="L30" s="178"/>
      <c r="O30" s="199" t="s">
        <v>187</v>
      </c>
      <c r="P30" s="199" t="s">
        <v>188</v>
      </c>
      <c r="Q30" s="199"/>
    </row>
    <row r="31" spans="1:17" s="152" customFormat="1" x14ac:dyDescent="0.35">
      <c r="A31" s="172"/>
      <c r="B31" s="186"/>
      <c r="C31" s="187"/>
      <c r="D31" s="187"/>
      <c r="E31" s="187"/>
      <c r="F31" s="187"/>
      <c r="G31" s="187"/>
      <c r="H31" s="187"/>
      <c r="I31" s="187"/>
      <c r="J31" s="187"/>
      <c r="K31" s="187"/>
      <c r="L31" s="185"/>
    </row>
    <row r="32" spans="1:17" s="3" customFormat="1" x14ac:dyDescent="0.35">
      <c r="A32" s="12"/>
      <c r="B32" s="710" t="s">
        <v>21</v>
      </c>
      <c r="C32" s="711"/>
      <c r="D32" s="711"/>
      <c r="E32" s="711"/>
      <c r="F32" s="711"/>
      <c r="G32" s="711"/>
      <c r="H32" s="711"/>
      <c r="I32" s="711"/>
      <c r="J32" s="711"/>
      <c r="K32" s="711"/>
      <c r="L32" s="712"/>
      <c r="M32" s="167"/>
    </row>
    <row r="33" spans="1:16" s="152" customFormat="1" x14ac:dyDescent="0.35">
      <c r="A33" s="172"/>
      <c r="B33" s="184"/>
      <c r="C33" s="173"/>
      <c r="D33" s="173"/>
      <c r="E33" s="173"/>
      <c r="F33" s="173"/>
      <c r="G33" s="173"/>
      <c r="H33" s="173"/>
      <c r="I33" s="173"/>
      <c r="J33" s="173"/>
      <c r="K33" s="173"/>
      <c r="L33" s="174"/>
    </row>
    <row r="34" spans="1:16" s="152" customFormat="1" x14ac:dyDescent="0.35">
      <c r="A34" s="172"/>
      <c r="B34" s="602" t="str">
        <f>IF(Intro!$G$21="English",O34,P34)</f>
        <v xml:space="preserve">Fournissez des détails sur la façon dont votre entreprise détermine la capacité pratique des usines. </v>
      </c>
      <c r="C34" s="603"/>
      <c r="D34" s="603"/>
      <c r="E34" s="603"/>
      <c r="F34" s="603"/>
      <c r="G34" s="603"/>
      <c r="H34" s="603"/>
      <c r="I34" s="603"/>
      <c r="J34" s="603"/>
      <c r="K34" s="603"/>
      <c r="L34" s="604"/>
      <c r="O34" s="152" t="s">
        <v>150</v>
      </c>
      <c r="P34" s="152" t="s">
        <v>151</v>
      </c>
    </row>
    <row r="35" spans="1:16" s="152" customFormat="1" x14ac:dyDescent="0.35">
      <c r="A35" s="172"/>
      <c r="B35" s="184"/>
      <c r="C35" s="173"/>
      <c r="D35" s="173"/>
      <c r="E35" s="173"/>
      <c r="F35" s="173"/>
      <c r="G35" s="173"/>
      <c r="H35" s="173"/>
      <c r="I35" s="173"/>
      <c r="J35" s="173"/>
      <c r="K35" s="173"/>
      <c r="L35" s="174"/>
    </row>
    <row r="36" spans="1:16" s="3" customFormat="1" x14ac:dyDescent="0.35">
      <c r="A36" s="12"/>
      <c r="B36" s="704"/>
      <c r="C36" s="705"/>
      <c r="D36" s="705"/>
      <c r="E36" s="705"/>
      <c r="F36" s="705"/>
      <c r="G36" s="705"/>
      <c r="H36" s="705"/>
      <c r="I36" s="705"/>
      <c r="J36" s="705"/>
      <c r="K36" s="705"/>
      <c r="L36" s="706"/>
      <c r="M36" s="152"/>
      <c r="O36" s="154"/>
      <c r="P36" s="154"/>
    </row>
    <row r="37" spans="1:16" s="3" customFormat="1" x14ac:dyDescent="0.35">
      <c r="A37" s="12"/>
      <c r="B37" s="704"/>
      <c r="C37" s="705"/>
      <c r="D37" s="705"/>
      <c r="E37" s="705"/>
      <c r="F37" s="705"/>
      <c r="G37" s="705"/>
      <c r="H37" s="705"/>
      <c r="I37" s="705"/>
      <c r="J37" s="705"/>
      <c r="K37" s="705"/>
      <c r="L37" s="706"/>
      <c r="M37" s="152"/>
      <c r="O37" s="154"/>
      <c r="P37" s="154"/>
    </row>
    <row r="38" spans="1:16" s="3" customFormat="1" x14ac:dyDescent="0.35">
      <c r="A38" s="12"/>
      <c r="B38" s="704"/>
      <c r="C38" s="705"/>
      <c r="D38" s="705"/>
      <c r="E38" s="705"/>
      <c r="F38" s="705"/>
      <c r="G38" s="705"/>
      <c r="H38" s="705"/>
      <c r="I38" s="705"/>
      <c r="J38" s="705"/>
      <c r="K38" s="705"/>
      <c r="L38" s="706"/>
      <c r="M38" s="152"/>
      <c r="O38" s="154"/>
      <c r="P38" s="154"/>
    </row>
    <row r="39" spans="1:16" s="3" customFormat="1" x14ac:dyDescent="0.35">
      <c r="A39" s="12"/>
      <c r="B39" s="704"/>
      <c r="C39" s="705"/>
      <c r="D39" s="705"/>
      <c r="E39" s="705"/>
      <c r="F39" s="705"/>
      <c r="G39" s="705"/>
      <c r="H39" s="705"/>
      <c r="I39" s="705"/>
      <c r="J39" s="705"/>
      <c r="K39" s="705"/>
      <c r="L39" s="706"/>
      <c r="M39" s="152"/>
      <c r="O39" s="154"/>
      <c r="P39" s="154"/>
    </row>
    <row r="40" spans="1:16" s="3" customFormat="1" x14ac:dyDescent="0.35">
      <c r="A40" s="12"/>
      <c r="B40" s="704"/>
      <c r="C40" s="705"/>
      <c r="D40" s="705"/>
      <c r="E40" s="705"/>
      <c r="F40" s="705"/>
      <c r="G40" s="705"/>
      <c r="H40" s="705"/>
      <c r="I40" s="705"/>
      <c r="J40" s="705"/>
      <c r="K40" s="705"/>
      <c r="L40" s="706"/>
      <c r="M40" s="152"/>
      <c r="O40" s="154"/>
      <c r="P40" s="154"/>
    </row>
    <row r="41" spans="1:16" s="3" customFormat="1" x14ac:dyDescent="0.35">
      <c r="A41" s="12"/>
      <c r="B41" s="704"/>
      <c r="C41" s="705"/>
      <c r="D41" s="705"/>
      <c r="E41" s="705"/>
      <c r="F41" s="705"/>
      <c r="G41" s="705"/>
      <c r="H41" s="705"/>
      <c r="I41" s="705"/>
      <c r="J41" s="705"/>
      <c r="K41" s="705"/>
      <c r="L41" s="706"/>
      <c r="M41" s="152"/>
      <c r="O41" s="154"/>
      <c r="P41" s="154"/>
    </row>
    <row r="42" spans="1:16" s="3" customFormat="1" x14ac:dyDescent="0.35">
      <c r="A42" s="12"/>
      <c r="B42" s="704"/>
      <c r="C42" s="705"/>
      <c r="D42" s="705"/>
      <c r="E42" s="705"/>
      <c r="F42" s="705"/>
      <c r="G42" s="705"/>
      <c r="H42" s="705"/>
      <c r="I42" s="705"/>
      <c r="J42" s="705"/>
      <c r="K42" s="705"/>
      <c r="L42" s="706"/>
      <c r="M42" s="152"/>
      <c r="O42" s="154"/>
      <c r="P42" s="154"/>
    </row>
    <row r="43" spans="1:16" s="3" customFormat="1" x14ac:dyDescent="0.35">
      <c r="A43" s="12"/>
      <c r="B43" s="704"/>
      <c r="C43" s="705"/>
      <c r="D43" s="705"/>
      <c r="E43" s="705"/>
      <c r="F43" s="705"/>
      <c r="G43" s="705"/>
      <c r="H43" s="705"/>
      <c r="I43" s="705"/>
      <c r="J43" s="705"/>
      <c r="K43" s="705"/>
      <c r="L43" s="706"/>
      <c r="M43" s="152"/>
      <c r="O43" s="154"/>
      <c r="P43" s="154"/>
    </row>
    <row r="44" spans="1:16" s="152" customFormat="1" x14ac:dyDescent="0.35">
      <c r="A44" s="172"/>
      <c r="B44" s="186"/>
      <c r="C44" s="187"/>
      <c r="D44" s="187"/>
      <c r="E44" s="187"/>
      <c r="F44" s="187"/>
      <c r="G44" s="187"/>
      <c r="H44" s="187"/>
      <c r="I44" s="187"/>
      <c r="J44" s="187"/>
      <c r="K44" s="187"/>
      <c r="L44" s="185"/>
    </row>
    <row r="45" spans="1:16" s="3" customFormat="1" x14ac:dyDescent="0.35">
      <c r="A45" s="12"/>
      <c r="B45" s="710" t="s">
        <v>26</v>
      </c>
      <c r="C45" s="711"/>
      <c r="D45" s="711"/>
      <c r="E45" s="711"/>
      <c r="F45" s="711"/>
      <c r="G45" s="711"/>
      <c r="H45" s="711"/>
      <c r="I45" s="711"/>
      <c r="J45" s="711"/>
      <c r="K45" s="711"/>
      <c r="L45" s="712"/>
      <c r="M45" s="167"/>
    </row>
    <row r="46" spans="1:16" s="152" customFormat="1" x14ac:dyDescent="0.35">
      <c r="A46" s="172"/>
      <c r="B46" s="184"/>
      <c r="C46" s="173"/>
      <c r="D46" s="173"/>
      <c r="E46" s="173"/>
      <c r="F46" s="173"/>
      <c r="G46" s="173"/>
      <c r="H46" s="173"/>
      <c r="I46" s="173"/>
      <c r="J46" s="173"/>
      <c r="K46" s="173"/>
      <c r="L46" s="174"/>
    </row>
    <row r="47" spans="1:16" s="152" customFormat="1" x14ac:dyDescent="0.35">
      <c r="A47" s="172"/>
      <c r="B47" s="602" t="str">
        <f>IF(Intro!$G$21="English",O47,P47)</f>
        <v>Si l'un ou l'autre des taux d'utilisation de la capacité, tel que calculé, est supérieur à 100 %, expliquez.</v>
      </c>
      <c r="C47" s="603"/>
      <c r="D47" s="603"/>
      <c r="E47" s="603"/>
      <c r="F47" s="603"/>
      <c r="G47" s="603"/>
      <c r="H47" s="603"/>
      <c r="I47" s="603"/>
      <c r="J47" s="603"/>
      <c r="K47" s="603"/>
      <c r="L47" s="604"/>
      <c r="O47" s="152" t="s">
        <v>335</v>
      </c>
      <c r="P47" s="152" t="s">
        <v>588</v>
      </c>
    </row>
    <row r="48" spans="1:16" s="152" customFormat="1" x14ac:dyDescent="0.35">
      <c r="A48" s="172"/>
      <c r="B48" s="184"/>
      <c r="C48" s="173"/>
      <c r="D48" s="173"/>
      <c r="E48" s="173"/>
      <c r="F48" s="173"/>
      <c r="G48" s="173"/>
      <c r="H48" s="173"/>
      <c r="I48" s="173"/>
      <c r="J48" s="173"/>
      <c r="K48" s="173"/>
      <c r="L48" s="174"/>
    </row>
    <row r="49" spans="1:16" s="3" customFormat="1" x14ac:dyDescent="0.35">
      <c r="A49" s="12"/>
      <c r="B49" s="704"/>
      <c r="C49" s="705"/>
      <c r="D49" s="705"/>
      <c r="E49" s="705"/>
      <c r="F49" s="705"/>
      <c r="G49" s="705"/>
      <c r="H49" s="705"/>
      <c r="I49" s="705"/>
      <c r="J49" s="705"/>
      <c r="K49" s="705"/>
      <c r="L49" s="706"/>
      <c r="M49" s="152"/>
      <c r="O49" s="154"/>
      <c r="P49" s="154"/>
    </row>
    <row r="50" spans="1:16" s="3" customFormat="1" x14ac:dyDescent="0.35">
      <c r="A50" s="12"/>
      <c r="B50" s="704"/>
      <c r="C50" s="705"/>
      <c r="D50" s="705"/>
      <c r="E50" s="705"/>
      <c r="F50" s="705"/>
      <c r="G50" s="705"/>
      <c r="H50" s="705"/>
      <c r="I50" s="705"/>
      <c r="J50" s="705"/>
      <c r="K50" s="705"/>
      <c r="L50" s="706"/>
      <c r="M50" s="152"/>
      <c r="O50" s="154"/>
      <c r="P50" s="154"/>
    </row>
    <row r="51" spans="1:16" s="3" customFormat="1" x14ac:dyDescent="0.35">
      <c r="A51" s="12"/>
      <c r="B51" s="704"/>
      <c r="C51" s="705"/>
      <c r="D51" s="705"/>
      <c r="E51" s="705"/>
      <c r="F51" s="705"/>
      <c r="G51" s="705"/>
      <c r="H51" s="705"/>
      <c r="I51" s="705"/>
      <c r="J51" s="705"/>
      <c r="K51" s="705"/>
      <c r="L51" s="706"/>
      <c r="M51" s="152"/>
      <c r="O51" s="154"/>
      <c r="P51" s="154"/>
    </row>
    <row r="52" spans="1:16" s="3" customFormat="1" x14ac:dyDescent="0.35">
      <c r="A52" s="12"/>
      <c r="B52" s="704"/>
      <c r="C52" s="705"/>
      <c r="D52" s="705"/>
      <c r="E52" s="705"/>
      <c r="F52" s="705"/>
      <c r="G52" s="705"/>
      <c r="H52" s="705"/>
      <c r="I52" s="705"/>
      <c r="J52" s="705"/>
      <c r="K52" s="705"/>
      <c r="L52" s="706"/>
      <c r="M52" s="152"/>
      <c r="O52" s="154"/>
      <c r="P52" s="154"/>
    </row>
    <row r="53" spans="1:16" s="3" customFormat="1" x14ac:dyDescent="0.35">
      <c r="A53" s="12"/>
      <c r="B53" s="704"/>
      <c r="C53" s="705"/>
      <c r="D53" s="705"/>
      <c r="E53" s="705"/>
      <c r="F53" s="705"/>
      <c r="G53" s="705"/>
      <c r="H53" s="705"/>
      <c r="I53" s="705"/>
      <c r="J53" s="705"/>
      <c r="K53" s="705"/>
      <c r="L53" s="706"/>
      <c r="M53" s="152"/>
      <c r="O53" s="154"/>
      <c r="P53" s="154"/>
    </row>
    <row r="54" spans="1:16" s="3" customFormat="1" x14ac:dyDescent="0.35">
      <c r="A54" s="12"/>
      <c r="B54" s="704"/>
      <c r="C54" s="705"/>
      <c r="D54" s="705"/>
      <c r="E54" s="705"/>
      <c r="F54" s="705"/>
      <c r="G54" s="705"/>
      <c r="H54" s="705"/>
      <c r="I54" s="705"/>
      <c r="J54" s="705"/>
      <c r="K54" s="705"/>
      <c r="L54" s="706"/>
      <c r="M54" s="152"/>
      <c r="O54" s="154"/>
      <c r="P54" s="154"/>
    </row>
    <row r="55" spans="1:16" s="3" customFormat="1" x14ac:dyDescent="0.35">
      <c r="A55" s="12"/>
      <c r="B55" s="704"/>
      <c r="C55" s="705"/>
      <c r="D55" s="705"/>
      <c r="E55" s="705"/>
      <c r="F55" s="705"/>
      <c r="G55" s="705"/>
      <c r="H55" s="705"/>
      <c r="I55" s="705"/>
      <c r="J55" s="705"/>
      <c r="K55" s="705"/>
      <c r="L55" s="706"/>
      <c r="M55" s="152"/>
      <c r="O55" s="154"/>
      <c r="P55" s="154"/>
    </row>
    <row r="56" spans="1:16" s="3" customFormat="1" x14ac:dyDescent="0.35">
      <c r="A56" s="12"/>
      <c r="B56" s="704"/>
      <c r="C56" s="705"/>
      <c r="D56" s="705"/>
      <c r="E56" s="705"/>
      <c r="F56" s="705"/>
      <c r="G56" s="705"/>
      <c r="H56" s="705"/>
      <c r="I56" s="705"/>
      <c r="J56" s="705"/>
      <c r="K56" s="705"/>
      <c r="L56" s="706"/>
      <c r="M56" s="152"/>
      <c r="O56" s="154"/>
      <c r="P56" s="154"/>
    </row>
    <row r="57" spans="1:16" s="152" customFormat="1" x14ac:dyDescent="0.35">
      <c r="A57" s="172"/>
      <c r="B57" s="186"/>
      <c r="C57" s="187"/>
      <c r="D57" s="187"/>
      <c r="E57" s="187"/>
      <c r="F57" s="187"/>
      <c r="G57" s="187"/>
      <c r="H57" s="187"/>
      <c r="I57" s="187"/>
      <c r="J57" s="187"/>
      <c r="K57" s="187"/>
      <c r="L57" s="185"/>
    </row>
    <row r="58" spans="1:16" s="3" customFormat="1" x14ac:dyDescent="0.35">
      <c r="A58" s="12"/>
      <c r="B58" s="710" t="s">
        <v>27</v>
      </c>
      <c r="C58" s="711"/>
      <c r="D58" s="711"/>
      <c r="E58" s="711"/>
      <c r="F58" s="711"/>
      <c r="G58" s="711"/>
      <c r="H58" s="711"/>
      <c r="I58" s="711"/>
      <c r="J58" s="711"/>
      <c r="K58" s="711"/>
      <c r="L58" s="712"/>
      <c r="M58" s="167"/>
    </row>
    <row r="59" spans="1:16" s="152" customFormat="1" x14ac:dyDescent="0.35">
      <c r="A59" s="172"/>
      <c r="B59" s="184"/>
      <c r="C59" s="173"/>
      <c r="D59" s="173"/>
      <c r="E59" s="173"/>
      <c r="F59" s="173"/>
      <c r="G59" s="173"/>
      <c r="H59" s="173"/>
      <c r="I59" s="173"/>
      <c r="J59" s="173"/>
      <c r="K59" s="173"/>
      <c r="L59" s="174"/>
    </row>
    <row r="60" spans="1:16" s="152" customFormat="1" x14ac:dyDescent="0.35">
      <c r="A60" s="172"/>
      <c r="B60" s="602" t="str">
        <f>IF(Intro!$G$21="English",O60,P60)</f>
        <v>Si la capacité pratique de l’usine a changé depuis le 1er janvier 2023, expliquez comment cela a été réalisé.</v>
      </c>
      <c r="C60" s="603"/>
      <c r="D60" s="603"/>
      <c r="E60" s="603"/>
      <c r="F60" s="603"/>
      <c r="G60" s="603"/>
      <c r="H60" s="603"/>
      <c r="I60" s="603"/>
      <c r="J60" s="603"/>
      <c r="K60" s="603"/>
      <c r="L60" s="604"/>
      <c r="O60" s="152" t="str">
        <f>"If practical plant capacity has changed since "&amp;Variables!$B$6&amp;", explain how this was achieved."</f>
        <v>If practical plant capacity has changed since 2023, explain how this was achieved.</v>
      </c>
      <c r="P60" s="152" t="str">
        <f>"Si la capacité pratique de l’usine a changé depuis le 1er janvier "&amp;Variables!B6&amp;", expliquez comment cela a été réalisé."</f>
        <v>Si la capacité pratique de l’usine a changé depuis le 1er janvier 2023, expliquez comment cela a été réalisé.</v>
      </c>
    </row>
    <row r="61" spans="1:16" s="152" customFormat="1" x14ac:dyDescent="0.35">
      <c r="A61" s="172"/>
      <c r="B61" s="184"/>
      <c r="C61" s="173"/>
      <c r="D61" s="173"/>
      <c r="E61" s="173"/>
      <c r="F61" s="173"/>
      <c r="G61" s="173"/>
      <c r="H61" s="173"/>
      <c r="I61" s="173"/>
      <c r="J61" s="173"/>
      <c r="K61" s="173"/>
      <c r="L61" s="174"/>
    </row>
    <row r="62" spans="1:16" s="3" customFormat="1" x14ac:dyDescent="0.35">
      <c r="A62" s="12"/>
      <c r="B62" s="704"/>
      <c r="C62" s="705"/>
      <c r="D62" s="705"/>
      <c r="E62" s="705"/>
      <c r="F62" s="705"/>
      <c r="G62" s="705"/>
      <c r="H62" s="705"/>
      <c r="I62" s="705"/>
      <c r="J62" s="705"/>
      <c r="K62" s="705"/>
      <c r="L62" s="706"/>
      <c r="M62" s="152"/>
      <c r="O62" s="154"/>
      <c r="P62" s="154"/>
    </row>
    <row r="63" spans="1:16" s="3" customFormat="1" x14ac:dyDescent="0.35">
      <c r="A63" s="12"/>
      <c r="B63" s="704"/>
      <c r="C63" s="705"/>
      <c r="D63" s="705"/>
      <c r="E63" s="705"/>
      <c r="F63" s="705"/>
      <c r="G63" s="705"/>
      <c r="H63" s="705"/>
      <c r="I63" s="705"/>
      <c r="J63" s="705"/>
      <c r="K63" s="705"/>
      <c r="L63" s="706"/>
      <c r="M63" s="152"/>
      <c r="O63" s="154"/>
      <c r="P63" s="154"/>
    </row>
    <row r="64" spans="1:16" s="3" customFormat="1" x14ac:dyDescent="0.35">
      <c r="A64" s="12"/>
      <c r="B64" s="704"/>
      <c r="C64" s="705"/>
      <c r="D64" s="705"/>
      <c r="E64" s="705"/>
      <c r="F64" s="705"/>
      <c r="G64" s="705"/>
      <c r="H64" s="705"/>
      <c r="I64" s="705"/>
      <c r="J64" s="705"/>
      <c r="K64" s="705"/>
      <c r="L64" s="706"/>
      <c r="M64" s="152"/>
      <c r="O64" s="154"/>
      <c r="P64" s="154"/>
    </row>
    <row r="65" spans="1:16" s="3" customFormat="1" x14ac:dyDescent="0.35">
      <c r="A65" s="12"/>
      <c r="B65" s="704"/>
      <c r="C65" s="705"/>
      <c r="D65" s="705"/>
      <c r="E65" s="705"/>
      <c r="F65" s="705"/>
      <c r="G65" s="705"/>
      <c r="H65" s="705"/>
      <c r="I65" s="705"/>
      <c r="J65" s="705"/>
      <c r="K65" s="705"/>
      <c r="L65" s="706"/>
      <c r="M65" s="152"/>
      <c r="O65" s="154"/>
      <c r="P65" s="154"/>
    </row>
    <row r="66" spans="1:16" s="3" customFormat="1" x14ac:dyDescent="0.35">
      <c r="A66" s="12"/>
      <c r="B66" s="704"/>
      <c r="C66" s="705"/>
      <c r="D66" s="705"/>
      <c r="E66" s="705"/>
      <c r="F66" s="705"/>
      <c r="G66" s="705"/>
      <c r="H66" s="705"/>
      <c r="I66" s="705"/>
      <c r="J66" s="705"/>
      <c r="K66" s="705"/>
      <c r="L66" s="706"/>
      <c r="M66" s="152"/>
      <c r="O66" s="154"/>
      <c r="P66" s="154"/>
    </row>
    <row r="67" spans="1:16" s="3" customFormat="1" x14ac:dyDescent="0.35">
      <c r="A67" s="12"/>
      <c r="B67" s="704"/>
      <c r="C67" s="705"/>
      <c r="D67" s="705"/>
      <c r="E67" s="705"/>
      <c r="F67" s="705"/>
      <c r="G67" s="705"/>
      <c r="H67" s="705"/>
      <c r="I67" s="705"/>
      <c r="J67" s="705"/>
      <c r="K67" s="705"/>
      <c r="L67" s="706"/>
      <c r="M67" s="152"/>
      <c r="O67" s="154"/>
      <c r="P67" s="154"/>
    </row>
    <row r="68" spans="1:16" s="3" customFormat="1" x14ac:dyDescent="0.35">
      <c r="A68" s="12"/>
      <c r="B68" s="704"/>
      <c r="C68" s="705"/>
      <c r="D68" s="705"/>
      <c r="E68" s="705"/>
      <c r="F68" s="705"/>
      <c r="G68" s="705"/>
      <c r="H68" s="705"/>
      <c r="I68" s="705"/>
      <c r="J68" s="705"/>
      <c r="K68" s="705"/>
      <c r="L68" s="706"/>
      <c r="M68" s="152"/>
      <c r="O68" s="154"/>
      <c r="P68" s="154"/>
    </row>
    <row r="69" spans="1:16" s="3" customFormat="1" x14ac:dyDescent="0.35">
      <c r="A69" s="12"/>
      <c r="B69" s="704"/>
      <c r="C69" s="705"/>
      <c r="D69" s="705"/>
      <c r="E69" s="705"/>
      <c r="F69" s="705"/>
      <c r="G69" s="705"/>
      <c r="H69" s="705"/>
      <c r="I69" s="705"/>
      <c r="J69" s="705"/>
      <c r="K69" s="705"/>
      <c r="L69" s="706"/>
      <c r="M69" s="152"/>
      <c r="O69" s="154"/>
      <c r="P69" s="154"/>
    </row>
    <row r="70" spans="1:16" s="152" customFormat="1" x14ac:dyDescent="0.35">
      <c r="A70" s="172"/>
      <c r="B70" s="186"/>
      <c r="C70" s="187"/>
      <c r="D70" s="187"/>
      <c r="E70" s="187"/>
      <c r="F70" s="187"/>
      <c r="G70" s="187"/>
      <c r="H70" s="187"/>
      <c r="I70" s="187"/>
      <c r="J70" s="187"/>
      <c r="K70" s="187"/>
      <c r="L70" s="185"/>
    </row>
    <row r="71" spans="1:16" s="3" customFormat="1" x14ac:dyDescent="0.35">
      <c r="A71" s="12"/>
      <c r="B71" s="710" t="s">
        <v>28</v>
      </c>
      <c r="C71" s="711"/>
      <c r="D71" s="711"/>
      <c r="E71" s="711"/>
      <c r="F71" s="711"/>
      <c r="G71" s="711"/>
      <c r="H71" s="711"/>
      <c r="I71" s="711"/>
      <c r="J71" s="711"/>
      <c r="K71" s="711"/>
      <c r="L71" s="712"/>
      <c r="M71" s="167"/>
    </row>
    <row r="72" spans="1:16" s="152" customFormat="1" x14ac:dyDescent="0.35">
      <c r="A72" s="172"/>
      <c r="B72" s="184"/>
      <c r="C72" s="173"/>
      <c r="D72" s="173"/>
      <c r="E72" s="173"/>
      <c r="F72" s="173"/>
      <c r="G72" s="173"/>
      <c r="H72" s="173"/>
      <c r="I72" s="173"/>
      <c r="J72" s="173"/>
      <c r="K72" s="173"/>
      <c r="L72" s="174"/>
    </row>
    <row r="73" spans="1:16" s="152" customFormat="1" x14ac:dyDescent="0.35">
      <c r="A73" s="172"/>
      <c r="B73" s="602" t="str">
        <f>IF(Intro!$G$21="English",O73,P73)</f>
        <v>Votre entreprise envisage-t-elle d'augmenter ou de diminuer la capacité pratique de son usine de production de marchandises au cours des deux prochaines années ? Incluez les dates cibles, la capacité pratique cible de l’usine, les usines concernées et les raisons du changement.</v>
      </c>
      <c r="C73" s="603"/>
      <c r="D73" s="603"/>
      <c r="E73" s="603"/>
      <c r="F73" s="603"/>
      <c r="G73" s="603"/>
      <c r="H73" s="603"/>
      <c r="I73" s="603"/>
      <c r="J73" s="603"/>
      <c r="K73" s="603"/>
      <c r="L73" s="604"/>
      <c r="O73" s="152" t="s">
        <v>408</v>
      </c>
      <c r="P73" s="152" t="s">
        <v>345</v>
      </c>
    </row>
    <row r="74" spans="1:16" s="152" customFormat="1" x14ac:dyDescent="0.35">
      <c r="A74" s="172"/>
      <c r="B74" s="602"/>
      <c r="C74" s="603"/>
      <c r="D74" s="603"/>
      <c r="E74" s="603"/>
      <c r="F74" s="603"/>
      <c r="G74" s="603"/>
      <c r="H74" s="603"/>
      <c r="I74" s="603"/>
      <c r="J74" s="603"/>
      <c r="K74" s="603"/>
      <c r="L74" s="604"/>
    </row>
    <row r="75" spans="1:16" s="152" customFormat="1" x14ac:dyDescent="0.35">
      <c r="A75" s="172"/>
      <c r="B75" s="184"/>
      <c r="C75" s="173"/>
      <c r="D75" s="173"/>
      <c r="E75" s="173"/>
      <c r="F75" s="173"/>
      <c r="G75" s="173"/>
      <c r="H75" s="173"/>
      <c r="I75" s="173"/>
      <c r="J75" s="173"/>
      <c r="K75" s="173"/>
      <c r="L75" s="174"/>
    </row>
    <row r="76" spans="1:16" s="3" customFormat="1" x14ac:dyDescent="0.35">
      <c r="A76" s="12"/>
      <c r="B76" s="704"/>
      <c r="C76" s="705"/>
      <c r="D76" s="705"/>
      <c r="E76" s="705"/>
      <c r="F76" s="705"/>
      <c r="G76" s="705"/>
      <c r="H76" s="705"/>
      <c r="I76" s="705"/>
      <c r="J76" s="705"/>
      <c r="K76" s="705"/>
      <c r="L76" s="706"/>
      <c r="M76" s="152"/>
      <c r="O76" s="154"/>
      <c r="P76" s="154"/>
    </row>
    <row r="77" spans="1:16" s="3" customFormat="1" x14ac:dyDescent="0.35">
      <c r="A77" s="12"/>
      <c r="B77" s="704"/>
      <c r="C77" s="705"/>
      <c r="D77" s="705"/>
      <c r="E77" s="705"/>
      <c r="F77" s="705"/>
      <c r="G77" s="705"/>
      <c r="H77" s="705"/>
      <c r="I77" s="705"/>
      <c r="J77" s="705"/>
      <c r="K77" s="705"/>
      <c r="L77" s="706"/>
      <c r="M77" s="152"/>
      <c r="O77" s="154"/>
      <c r="P77" s="154"/>
    </row>
    <row r="78" spans="1:16" s="3" customFormat="1" x14ac:dyDescent="0.35">
      <c r="A78" s="12"/>
      <c r="B78" s="704"/>
      <c r="C78" s="705"/>
      <c r="D78" s="705"/>
      <c r="E78" s="705"/>
      <c r="F78" s="705"/>
      <c r="G78" s="705"/>
      <c r="H78" s="705"/>
      <c r="I78" s="705"/>
      <c r="J78" s="705"/>
      <c r="K78" s="705"/>
      <c r="L78" s="706"/>
      <c r="M78" s="152"/>
      <c r="O78" s="154"/>
      <c r="P78" s="154"/>
    </row>
    <row r="79" spans="1:16" s="3" customFormat="1" x14ac:dyDescent="0.35">
      <c r="A79" s="12"/>
      <c r="B79" s="704"/>
      <c r="C79" s="705"/>
      <c r="D79" s="705"/>
      <c r="E79" s="705"/>
      <c r="F79" s="705"/>
      <c r="G79" s="705"/>
      <c r="H79" s="705"/>
      <c r="I79" s="705"/>
      <c r="J79" s="705"/>
      <c r="K79" s="705"/>
      <c r="L79" s="706"/>
      <c r="M79" s="152"/>
      <c r="O79" s="154"/>
      <c r="P79" s="154"/>
    </row>
    <row r="80" spans="1:16" s="3" customFormat="1" x14ac:dyDescent="0.35">
      <c r="A80" s="12"/>
      <c r="B80" s="704"/>
      <c r="C80" s="705"/>
      <c r="D80" s="705"/>
      <c r="E80" s="705"/>
      <c r="F80" s="705"/>
      <c r="G80" s="705"/>
      <c r="H80" s="705"/>
      <c r="I80" s="705"/>
      <c r="J80" s="705"/>
      <c r="K80" s="705"/>
      <c r="L80" s="706"/>
      <c r="M80" s="152"/>
      <c r="O80" s="154"/>
      <c r="P80" s="154"/>
    </row>
    <row r="81" spans="1:16" s="3" customFormat="1" x14ac:dyDescent="0.35">
      <c r="A81" s="12"/>
      <c r="B81" s="704"/>
      <c r="C81" s="705"/>
      <c r="D81" s="705"/>
      <c r="E81" s="705"/>
      <c r="F81" s="705"/>
      <c r="G81" s="705"/>
      <c r="H81" s="705"/>
      <c r="I81" s="705"/>
      <c r="J81" s="705"/>
      <c r="K81" s="705"/>
      <c r="L81" s="706"/>
      <c r="M81" s="152"/>
      <c r="O81" s="154"/>
      <c r="P81" s="154"/>
    </row>
    <row r="82" spans="1:16" s="3" customFormat="1" x14ac:dyDescent="0.35">
      <c r="A82" s="12"/>
      <c r="B82" s="704"/>
      <c r="C82" s="705"/>
      <c r="D82" s="705"/>
      <c r="E82" s="705"/>
      <c r="F82" s="705"/>
      <c r="G82" s="705"/>
      <c r="H82" s="705"/>
      <c r="I82" s="705"/>
      <c r="J82" s="705"/>
      <c r="K82" s="705"/>
      <c r="L82" s="706"/>
      <c r="M82" s="152"/>
      <c r="O82" s="154"/>
      <c r="P82" s="154"/>
    </row>
    <row r="83" spans="1:16" s="3" customFormat="1" x14ac:dyDescent="0.35">
      <c r="A83" s="12"/>
      <c r="B83" s="704"/>
      <c r="C83" s="705"/>
      <c r="D83" s="705"/>
      <c r="E83" s="705"/>
      <c r="F83" s="705"/>
      <c r="G83" s="705"/>
      <c r="H83" s="705"/>
      <c r="I83" s="705"/>
      <c r="J83" s="705"/>
      <c r="K83" s="705"/>
      <c r="L83" s="706"/>
      <c r="M83" s="152"/>
      <c r="O83" s="154"/>
      <c r="P83" s="154"/>
    </row>
    <row r="84" spans="1:16" s="152" customFormat="1" x14ac:dyDescent="0.35">
      <c r="A84" s="172"/>
      <c r="B84" s="186"/>
      <c r="C84" s="187"/>
      <c r="D84" s="187"/>
      <c r="E84" s="187"/>
      <c r="F84" s="187"/>
      <c r="G84" s="187"/>
      <c r="H84" s="187"/>
      <c r="I84" s="187"/>
      <c r="J84" s="187"/>
      <c r="K84" s="187"/>
      <c r="L84" s="185"/>
    </row>
    <row r="85" spans="1:16" s="3" customFormat="1" x14ac:dyDescent="0.35">
      <c r="A85" s="12"/>
      <c r="B85" s="710" t="s">
        <v>30</v>
      </c>
      <c r="C85" s="711"/>
      <c r="D85" s="711"/>
      <c r="E85" s="711"/>
      <c r="F85" s="711"/>
      <c r="G85" s="711"/>
      <c r="H85" s="711"/>
      <c r="I85" s="711"/>
      <c r="J85" s="711"/>
      <c r="K85" s="711"/>
      <c r="L85" s="712"/>
      <c r="M85" s="167"/>
    </row>
    <row r="86" spans="1:16" s="152" customFormat="1" x14ac:dyDescent="0.35">
      <c r="A86" s="172"/>
      <c r="B86" s="184"/>
      <c r="C86" s="173"/>
      <c r="D86" s="173"/>
      <c r="E86" s="173"/>
      <c r="F86" s="173"/>
      <c r="G86" s="173"/>
      <c r="H86" s="173"/>
      <c r="I86" s="173"/>
      <c r="J86" s="173"/>
      <c r="K86" s="173"/>
      <c r="L86" s="174"/>
    </row>
    <row r="87" spans="1:16" s="152" customFormat="1" x14ac:dyDescent="0.35">
      <c r="A87" s="172"/>
      <c r="B87" s="608" t="str">
        <f>IF(Intro!$G$21="English",O87,P87)</f>
        <v>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v>
      </c>
      <c r="C87" s="609"/>
      <c r="D87" s="609"/>
      <c r="E87" s="609"/>
      <c r="F87" s="609"/>
      <c r="G87" s="609"/>
      <c r="H87" s="609"/>
      <c r="I87" s="609"/>
      <c r="J87" s="609"/>
      <c r="K87" s="609"/>
      <c r="L87" s="610"/>
      <c r="O87" s="152" t="s">
        <v>409</v>
      </c>
      <c r="P87" s="152" t="s">
        <v>346</v>
      </c>
    </row>
    <row r="88" spans="1:16" s="152" customFormat="1" x14ac:dyDescent="0.35">
      <c r="A88" s="172"/>
      <c r="B88" s="608"/>
      <c r="C88" s="609"/>
      <c r="D88" s="609"/>
      <c r="E88" s="609"/>
      <c r="F88" s="609"/>
      <c r="G88" s="609"/>
      <c r="H88" s="609"/>
      <c r="I88" s="609"/>
      <c r="J88" s="609"/>
      <c r="K88" s="609"/>
      <c r="L88" s="610"/>
    </row>
    <row r="89" spans="1:16" s="152" customFormat="1" x14ac:dyDescent="0.35">
      <c r="A89" s="172"/>
      <c r="B89" s="608"/>
      <c r="C89" s="609"/>
      <c r="D89" s="609"/>
      <c r="E89" s="609"/>
      <c r="F89" s="609"/>
      <c r="G89" s="609"/>
      <c r="H89" s="609"/>
      <c r="I89" s="609"/>
      <c r="J89" s="609"/>
      <c r="K89" s="609"/>
      <c r="L89" s="610"/>
    </row>
    <row r="90" spans="1:16" s="152" customFormat="1" x14ac:dyDescent="0.35">
      <c r="A90" s="172"/>
      <c r="B90" s="184"/>
      <c r="C90" s="173"/>
      <c r="D90" s="173"/>
      <c r="E90" s="173"/>
      <c r="F90" s="173"/>
      <c r="G90" s="173"/>
      <c r="H90" s="173"/>
      <c r="I90" s="173"/>
      <c r="J90" s="173"/>
      <c r="K90" s="173"/>
      <c r="L90" s="174"/>
    </row>
    <row r="91" spans="1:16" s="3" customFormat="1" ht="14.25" customHeight="1" x14ac:dyDescent="0.35">
      <c r="A91" s="12"/>
      <c r="B91" s="760"/>
      <c r="C91" s="761"/>
      <c r="D91" s="761"/>
      <c r="E91" s="761"/>
      <c r="F91" s="761"/>
      <c r="G91" s="761"/>
      <c r="H91" s="761"/>
      <c r="I91" s="761"/>
      <c r="J91" s="761"/>
      <c r="K91" s="761"/>
      <c r="L91" s="762"/>
      <c r="M91" s="152"/>
      <c r="O91" s="154"/>
      <c r="P91" s="154"/>
    </row>
    <row r="92" spans="1:16" s="3" customFormat="1" x14ac:dyDescent="0.35">
      <c r="A92" s="12"/>
      <c r="B92" s="760"/>
      <c r="C92" s="761"/>
      <c r="D92" s="761"/>
      <c r="E92" s="761"/>
      <c r="F92" s="761"/>
      <c r="G92" s="761"/>
      <c r="H92" s="761"/>
      <c r="I92" s="761"/>
      <c r="J92" s="761"/>
      <c r="K92" s="761"/>
      <c r="L92" s="762"/>
      <c r="M92" s="152"/>
      <c r="O92" s="154"/>
      <c r="P92" s="154"/>
    </row>
    <row r="93" spans="1:16" s="3" customFormat="1" x14ac:dyDescent="0.35">
      <c r="A93" s="12"/>
      <c r="B93" s="760"/>
      <c r="C93" s="761"/>
      <c r="D93" s="761"/>
      <c r="E93" s="761"/>
      <c r="F93" s="761"/>
      <c r="G93" s="761"/>
      <c r="H93" s="761"/>
      <c r="I93" s="761"/>
      <c r="J93" s="761"/>
      <c r="K93" s="761"/>
      <c r="L93" s="762"/>
      <c r="M93" s="152"/>
      <c r="O93" s="154"/>
      <c r="P93" s="154"/>
    </row>
    <row r="94" spans="1:16" s="3" customFormat="1" x14ac:dyDescent="0.35">
      <c r="A94" s="12"/>
      <c r="B94" s="760"/>
      <c r="C94" s="761"/>
      <c r="D94" s="761"/>
      <c r="E94" s="761"/>
      <c r="F94" s="761"/>
      <c r="G94" s="761"/>
      <c r="H94" s="761"/>
      <c r="I94" s="761"/>
      <c r="J94" s="761"/>
      <c r="K94" s="761"/>
      <c r="L94" s="762"/>
      <c r="M94" s="152"/>
      <c r="O94" s="154"/>
      <c r="P94" s="154"/>
    </row>
    <row r="95" spans="1:16" s="3" customFormat="1" x14ac:dyDescent="0.35">
      <c r="A95" s="12"/>
      <c r="B95" s="760"/>
      <c r="C95" s="761"/>
      <c r="D95" s="761"/>
      <c r="E95" s="761"/>
      <c r="F95" s="761"/>
      <c r="G95" s="761"/>
      <c r="H95" s="761"/>
      <c r="I95" s="761"/>
      <c r="J95" s="761"/>
      <c r="K95" s="761"/>
      <c r="L95" s="762"/>
      <c r="M95" s="152"/>
      <c r="O95" s="154"/>
      <c r="P95" s="154"/>
    </row>
    <row r="96" spans="1:16" s="3" customFormat="1" x14ac:dyDescent="0.35">
      <c r="A96" s="12"/>
      <c r="B96" s="760"/>
      <c r="C96" s="761"/>
      <c r="D96" s="761"/>
      <c r="E96" s="761"/>
      <c r="F96" s="761"/>
      <c r="G96" s="761"/>
      <c r="H96" s="761"/>
      <c r="I96" s="761"/>
      <c r="J96" s="761"/>
      <c r="K96" s="761"/>
      <c r="L96" s="762"/>
      <c r="M96" s="152"/>
      <c r="O96" s="154"/>
      <c r="P96" s="154"/>
    </row>
    <row r="97" spans="1:16" s="3" customFormat="1" x14ac:dyDescent="0.35">
      <c r="A97" s="12"/>
      <c r="B97" s="760"/>
      <c r="C97" s="761"/>
      <c r="D97" s="761"/>
      <c r="E97" s="761"/>
      <c r="F97" s="761"/>
      <c r="G97" s="761"/>
      <c r="H97" s="761"/>
      <c r="I97" s="761"/>
      <c r="J97" s="761"/>
      <c r="K97" s="761"/>
      <c r="L97" s="762"/>
      <c r="M97" s="152"/>
      <c r="O97" s="154"/>
      <c r="P97" s="154"/>
    </row>
    <row r="98" spans="1:16" s="152" customFormat="1" x14ac:dyDescent="0.35">
      <c r="A98" s="172"/>
      <c r="B98" s="186"/>
      <c r="C98" s="187"/>
      <c r="D98" s="187"/>
      <c r="E98" s="187"/>
      <c r="F98" s="187"/>
      <c r="G98" s="187"/>
      <c r="H98" s="187"/>
      <c r="I98" s="187"/>
      <c r="J98" s="187"/>
      <c r="K98" s="187"/>
      <c r="L98" s="185"/>
    </row>
    <row r="99" spans="1:16" s="3" customFormat="1" x14ac:dyDescent="0.35">
      <c r="A99" s="12"/>
      <c r="B99" s="710" t="s">
        <v>31</v>
      </c>
      <c r="C99" s="711"/>
      <c r="D99" s="711"/>
      <c r="E99" s="711"/>
      <c r="F99" s="711"/>
      <c r="G99" s="711"/>
      <c r="H99" s="711"/>
      <c r="I99" s="711"/>
      <c r="J99" s="711"/>
      <c r="K99" s="711"/>
      <c r="L99" s="712"/>
      <c r="M99" s="167"/>
    </row>
    <row r="100" spans="1:16" s="152" customFormat="1" x14ac:dyDescent="0.35">
      <c r="A100" s="172"/>
      <c r="B100" s="184"/>
      <c r="C100" s="173"/>
      <c r="D100" s="173"/>
      <c r="E100" s="173"/>
      <c r="F100" s="173"/>
      <c r="G100" s="173"/>
      <c r="H100" s="173"/>
      <c r="I100" s="173"/>
      <c r="J100" s="173"/>
      <c r="K100" s="173"/>
      <c r="L100" s="174"/>
    </row>
    <row r="101" spans="1:16" s="152" customFormat="1" x14ac:dyDescent="0.35">
      <c r="A101" s="172"/>
      <c r="B101" s="602" t="str">
        <f>IF(Intro!$G$21="English",O101,P101)</f>
        <v>Votre entreprise envisage-t-elle de modifier la gamme de produits fabriqués sur le même équipement au cours des deux prochaines années? Fournissez les motifs et les hypothèses sous-tendant ces objectifs et ces stratégies.</v>
      </c>
      <c r="C101" s="603"/>
      <c r="D101" s="603"/>
      <c r="E101" s="603"/>
      <c r="F101" s="603"/>
      <c r="G101" s="603"/>
      <c r="H101" s="603"/>
      <c r="I101" s="603"/>
      <c r="J101" s="603"/>
      <c r="K101" s="603"/>
      <c r="L101" s="604"/>
      <c r="O101" s="152" t="s">
        <v>410</v>
      </c>
      <c r="P101" s="152" t="s">
        <v>347</v>
      </c>
    </row>
    <row r="102" spans="1:16" s="152" customFormat="1" x14ac:dyDescent="0.35">
      <c r="A102" s="172"/>
      <c r="B102" s="602"/>
      <c r="C102" s="603"/>
      <c r="D102" s="603"/>
      <c r="E102" s="603"/>
      <c r="F102" s="603"/>
      <c r="G102" s="603"/>
      <c r="H102" s="603"/>
      <c r="I102" s="603"/>
      <c r="J102" s="603"/>
      <c r="K102" s="603"/>
      <c r="L102" s="604"/>
    </row>
    <row r="103" spans="1:16" s="152" customFormat="1" x14ac:dyDescent="0.35">
      <c r="A103" s="172"/>
      <c r="B103" s="184"/>
      <c r="C103" s="173"/>
      <c r="D103" s="173"/>
      <c r="E103" s="173"/>
      <c r="F103" s="173"/>
      <c r="G103" s="173"/>
      <c r="H103" s="173"/>
      <c r="I103" s="173"/>
      <c r="J103" s="173"/>
      <c r="K103" s="173"/>
      <c r="L103" s="174"/>
    </row>
    <row r="104" spans="1:16" s="3" customFormat="1" x14ac:dyDescent="0.35">
      <c r="A104" s="12"/>
      <c r="B104" s="704"/>
      <c r="C104" s="705"/>
      <c r="D104" s="705"/>
      <c r="E104" s="705"/>
      <c r="F104" s="705"/>
      <c r="G104" s="705"/>
      <c r="H104" s="705"/>
      <c r="I104" s="705"/>
      <c r="J104" s="705"/>
      <c r="K104" s="705"/>
      <c r="L104" s="706"/>
      <c r="M104" s="152"/>
      <c r="O104" s="154"/>
      <c r="P104" s="154"/>
    </row>
    <row r="105" spans="1:16" s="3" customFormat="1" x14ac:dyDescent="0.35">
      <c r="A105" s="12"/>
      <c r="B105" s="704"/>
      <c r="C105" s="705"/>
      <c r="D105" s="705"/>
      <c r="E105" s="705"/>
      <c r="F105" s="705"/>
      <c r="G105" s="705"/>
      <c r="H105" s="705"/>
      <c r="I105" s="705"/>
      <c r="J105" s="705"/>
      <c r="K105" s="705"/>
      <c r="L105" s="706"/>
      <c r="M105" s="152"/>
      <c r="O105" s="154"/>
      <c r="P105" s="154"/>
    </row>
    <row r="106" spans="1:16" s="3" customFormat="1" x14ac:dyDescent="0.35">
      <c r="A106" s="12"/>
      <c r="B106" s="704"/>
      <c r="C106" s="705"/>
      <c r="D106" s="705"/>
      <c r="E106" s="705"/>
      <c r="F106" s="705"/>
      <c r="G106" s="705"/>
      <c r="H106" s="705"/>
      <c r="I106" s="705"/>
      <c r="J106" s="705"/>
      <c r="K106" s="705"/>
      <c r="L106" s="706"/>
      <c r="M106" s="152"/>
      <c r="O106" s="154"/>
      <c r="P106" s="154"/>
    </row>
    <row r="107" spans="1:16" s="3" customFormat="1" x14ac:dyDescent="0.35">
      <c r="A107" s="12"/>
      <c r="B107" s="704"/>
      <c r="C107" s="705"/>
      <c r="D107" s="705"/>
      <c r="E107" s="705"/>
      <c r="F107" s="705"/>
      <c r="G107" s="705"/>
      <c r="H107" s="705"/>
      <c r="I107" s="705"/>
      <c r="J107" s="705"/>
      <c r="K107" s="705"/>
      <c r="L107" s="706"/>
      <c r="M107" s="152"/>
      <c r="O107" s="154"/>
      <c r="P107" s="154"/>
    </row>
    <row r="108" spans="1:16" s="3" customFormat="1" x14ac:dyDescent="0.35">
      <c r="A108" s="12"/>
      <c r="B108" s="704"/>
      <c r="C108" s="705"/>
      <c r="D108" s="705"/>
      <c r="E108" s="705"/>
      <c r="F108" s="705"/>
      <c r="G108" s="705"/>
      <c r="H108" s="705"/>
      <c r="I108" s="705"/>
      <c r="J108" s="705"/>
      <c r="K108" s="705"/>
      <c r="L108" s="706"/>
      <c r="M108" s="152"/>
      <c r="O108" s="154"/>
      <c r="P108" s="154"/>
    </row>
    <row r="109" spans="1:16" s="3" customFormat="1" x14ac:dyDescent="0.35">
      <c r="A109" s="12"/>
      <c r="B109" s="704"/>
      <c r="C109" s="705"/>
      <c r="D109" s="705"/>
      <c r="E109" s="705"/>
      <c r="F109" s="705"/>
      <c r="G109" s="705"/>
      <c r="H109" s="705"/>
      <c r="I109" s="705"/>
      <c r="J109" s="705"/>
      <c r="K109" s="705"/>
      <c r="L109" s="706"/>
      <c r="M109" s="152"/>
      <c r="O109" s="154"/>
      <c r="P109" s="154"/>
    </row>
    <row r="110" spans="1:16" s="3" customFormat="1" x14ac:dyDescent="0.35">
      <c r="A110" s="12"/>
      <c r="B110" s="704"/>
      <c r="C110" s="705"/>
      <c r="D110" s="705"/>
      <c r="E110" s="705"/>
      <c r="F110" s="705"/>
      <c r="G110" s="705"/>
      <c r="H110" s="705"/>
      <c r="I110" s="705"/>
      <c r="J110" s="705"/>
      <c r="K110" s="705"/>
      <c r="L110" s="706"/>
      <c r="M110" s="152"/>
      <c r="O110" s="154"/>
      <c r="P110" s="154"/>
    </row>
    <row r="111" spans="1:16" s="3" customFormat="1" x14ac:dyDescent="0.35">
      <c r="A111" s="12"/>
      <c r="B111" s="704"/>
      <c r="C111" s="705"/>
      <c r="D111" s="705"/>
      <c r="E111" s="705"/>
      <c r="F111" s="705"/>
      <c r="G111" s="705"/>
      <c r="H111" s="705"/>
      <c r="I111" s="705"/>
      <c r="J111" s="705"/>
      <c r="K111" s="705"/>
      <c r="L111" s="706"/>
      <c r="M111" s="152"/>
      <c r="O111" s="154"/>
      <c r="P111" s="154"/>
    </row>
    <row r="112" spans="1:16" s="152" customFormat="1" x14ac:dyDescent="0.35">
      <c r="A112" s="172"/>
      <c r="B112" s="186"/>
      <c r="C112" s="187"/>
      <c r="D112" s="187"/>
      <c r="E112" s="187"/>
      <c r="F112" s="187"/>
      <c r="G112" s="187"/>
      <c r="H112" s="187"/>
      <c r="I112" s="187"/>
      <c r="J112" s="187"/>
      <c r="K112" s="187"/>
      <c r="L112" s="185"/>
    </row>
  </sheetData>
  <sheetProtection algorithmName="SHA-512" hashValue="/5k2rHl7aBCrrft7afoKFOk3uKYw3F1JAKwdfVNnp7q7u6r9FckGrWGvNdq/9C0qrTeYKofoERFJJI2NCMi4EA==" saltValue="NTtaYlH0Jjlzs+ybb5aLIg==" spinCount="100000" sheet="1" objects="1" scenarios="1" selectLockedCells="1"/>
  <mergeCells count="47">
    <mergeCell ref="G23:G24"/>
    <mergeCell ref="H23:H24"/>
    <mergeCell ref="I23:I24"/>
    <mergeCell ref="J23:J24"/>
    <mergeCell ref="B4:L4"/>
    <mergeCell ref="B5:L5"/>
    <mergeCell ref="B6:L6"/>
    <mergeCell ref="B13:L13"/>
    <mergeCell ref="K19:K20"/>
    <mergeCell ref="B12:L12"/>
    <mergeCell ref="B15:L17"/>
    <mergeCell ref="B27:E27"/>
    <mergeCell ref="B28:E28"/>
    <mergeCell ref="B8:L8"/>
    <mergeCell ref="B9:L9"/>
    <mergeCell ref="B10:L10"/>
    <mergeCell ref="B21:E21"/>
    <mergeCell ref="B22:E22"/>
    <mergeCell ref="B25:E25"/>
    <mergeCell ref="G19:G20"/>
    <mergeCell ref="H19:H20"/>
    <mergeCell ref="I19:I20"/>
    <mergeCell ref="J19:J20"/>
    <mergeCell ref="B26:E26"/>
    <mergeCell ref="B23:E24"/>
    <mergeCell ref="K23:K24"/>
    <mergeCell ref="F23:F24"/>
    <mergeCell ref="B34:L34"/>
    <mergeCell ref="B47:L47"/>
    <mergeCell ref="B60:L60"/>
    <mergeCell ref="B29:E29"/>
    <mergeCell ref="B30:E30"/>
    <mergeCell ref="B36:L43"/>
    <mergeCell ref="B49:L56"/>
    <mergeCell ref="B32:L32"/>
    <mergeCell ref="B45:L45"/>
    <mergeCell ref="B58:L58"/>
    <mergeCell ref="B104:L111"/>
    <mergeCell ref="B62:L69"/>
    <mergeCell ref="B76:L83"/>
    <mergeCell ref="B85:L85"/>
    <mergeCell ref="B99:L99"/>
    <mergeCell ref="B71:L71"/>
    <mergeCell ref="B101:L102"/>
    <mergeCell ref="B87:L89"/>
    <mergeCell ref="B73:L74"/>
    <mergeCell ref="B91:L97"/>
  </mergeCells>
  <dataValidations count="2">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6 B49 B62 B76 B91 B104" xr:uid="{9A88E553-ACFB-40FF-B26F-32C105B2B41B}">
      <formula1>1000</formula1>
    </dataValidation>
    <dataValidation type="decimal" operator="greaterThan" allowBlank="1" showInputMessage="1" showErrorMessage="1" sqref="G28:K28 G26:K26 G21:K23" xr:uid="{10D4BDFB-97DB-49AD-90C5-CE14B7E33990}">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7"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4E5-BB83-451D-A70D-D74454ABF619}">
  <sheetPr>
    <tabColor rgb="FF92D050"/>
    <pageSetUpPr fitToPage="1"/>
  </sheetPr>
  <dimension ref="A1:S336"/>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7" width="15.54296875" style="2" customWidth="1"/>
    <col min="18" max="16384" width="9.08984375" style="2"/>
  </cols>
  <sheetData>
    <row r="1" spans="1:16" x14ac:dyDescent="0.35">
      <c r="O1" s="2" t="s">
        <v>715</v>
      </c>
      <c r="P1" s="2" t="s">
        <v>715</v>
      </c>
    </row>
    <row r="2" spans="1:16" x14ac:dyDescent="0.35">
      <c r="B2" s="20" t="str">
        <f>'Pro 1'!B2</f>
        <v>PROTÉGÉ</v>
      </c>
      <c r="C2" s="20"/>
      <c r="D2" s="20"/>
      <c r="O2" s="3" t="s">
        <v>164</v>
      </c>
      <c r="P2" s="3" t="s">
        <v>165</v>
      </c>
    </row>
    <row r="3" spans="1:16" x14ac:dyDescent="0.35">
      <c r="B3" s="21"/>
      <c r="C3" s="21"/>
      <c r="D3" s="21"/>
      <c r="O3" s="8"/>
      <c r="P3" s="8"/>
    </row>
    <row r="4" spans="1:16" s="8" customFormat="1" x14ac:dyDescent="0.35">
      <c r="A4" s="13"/>
      <c r="B4" s="614" t="str">
        <f>Info!B4</f>
        <v>QUESTIONNAIRE À L’INTENTION DES PRODUCTEURS</v>
      </c>
      <c r="C4" s="615"/>
      <c r="D4" s="615"/>
      <c r="E4" s="615"/>
      <c r="F4" s="615"/>
      <c r="G4" s="615"/>
      <c r="H4" s="615"/>
      <c r="I4" s="615"/>
      <c r="J4" s="615"/>
      <c r="K4" s="615"/>
      <c r="L4" s="616"/>
      <c r="M4" s="15"/>
      <c r="N4" s="15"/>
      <c r="O4" s="14"/>
      <c r="P4" s="14"/>
    </row>
    <row r="5" spans="1:16" s="8" customFormat="1" x14ac:dyDescent="0.35">
      <c r="A5" s="13"/>
      <c r="B5" s="617" t="str">
        <f>Info!B5</f>
        <v>NQ-2026-003</v>
      </c>
      <c r="C5" s="618"/>
      <c r="D5" s="618"/>
      <c r="E5" s="618"/>
      <c r="F5" s="618"/>
      <c r="G5" s="618"/>
      <c r="H5" s="618"/>
      <c r="I5" s="618"/>
      <c r="J5" s="618"/>
      <c r="K5" s="618"/>
      <c r="L5" s="619"/>
      <c r="M5" s="15"/>
      <c r="N5" s="15"/>
      <c r="O5" s="14"/>
      <c r="P5" s="14"/>
    </row>
    <row r="6" spans="1:16" s="9" customFormat="1" x14ac:dyDescent="0.35">
      <c r="A6" s="13"/>
      <c r="B6" s="617" t="str">
        <f>Info!B6</f>
        <v>CÂBLES DE BÂTIMENTS NON ARMÉS</v>
      </c>
      <c r="C6" s="618"/>
      <c r="D6" s="618"/>
      <c r="E6" s="618"/>
      <c r="F6" s="618"/>
      <c r="G6" s="618"/>
      <c r="H6" s="618"/>
      <c r="I6" s="618"/>
      <c r="J6" s="618"/>
      <c r="K6" s="618"/>
      <c r="L6" s="619"/>
      <c r="M6" s="14"/>
      <c r="N6" s="14"/>
      <c r="O6" s="10"/>
      <c r="P6" s="10"/>
    </row>
    <row r="7" spans="1:16" s="9" customFormat="1" x14ac:dyDescent="0.35">
      <c r="A7" s="13"/>
      <c r="B7" s="242"/>
      <c r="C7" s="28"/>
      <c r="D7" s="28"/>
      <c r="E7" s="28"/>
      <c r="F7" s="28"/>
      <c r="G7" s="28"/>
      <c r="H7" s="28"/>
      <c r="I7" s="28"/>
      <c r="J7" s="28"/>
      <c r="K7" s="28"/>
      <c r="L7" s="243"/>
      <c r="M7" s="14"/>
      <c r="N7" s="14"/>
      <c r="O7" s="5"/>
    </row>
    <row r="8" spans="1:16" s="9" customFormat="1" x14ac:dyDescent="0.35">
      <c r="A8" s="13"/>
      <c r="B8" s="722" t="str">
        <f>Public!B8</f>
        <v>Les questions suivantes font référence aux marchandises comme définies dans la description du produit de l'onglet Intro.</v>
      </c>
      <c r="C8" s="723"/>
      <c r="D8" s="723"/>
      <c r="E8" s="723"/>
      <c r="F8" s="723"/>
      <c r="G8" s="723"/>
      <c r="H8" s="723"/>
      <c r="I8" s="723"/>
      <c r="J8" s="723"/>
      <c r="K8" s="723"/>
      <c r="L8" s="724"/>
      <c r="M8" s="14"/>
      <c r="N8" s="14"/>
      <c r="O8" s="10"/>
      <c r="P8" s="10"/>
    </row>
    <row r="9" spans="1:16" s="9" customFormat="1" x14ac:dyDescent="0.35">
      <c r="A9" s="13"/>
      <c r="B9" s="722" t="str">
        <f>Public!B9</f>
        <v>Des informations sur le produit et un glossaire de termes sont disponibles dans l'onglet Info.</v>
      </c>
      <c r="C9" s="723"/>
      <c r="D9" s="723"/>
      <c r="E9" s="723"/>
      <c r="F9" s="723"/>
      <c r="G9" s="723"/>
      <c r="H9" s="723"/>
      <c r="I9" s="723"/>
      <c r="J9" s="723"/>
      <c r="K9" s="723"/>
      <c r="L9" s="724"/>
      <c r="M9" s="14"/>
      <c r="N9" s="14"/>
      <c r="O9" s="10"/>
    </row>
    <row r="10" spans="1:16" s="9" customFormat="1" x14ac:dyDescent="0.35">
      <c r="A10" s="13"/>
      <c r="B10" s="722" t="str">
        <f>'Pro 1'!B10</f>
        <v xml:space="preserve">Utilisez l'onglet AddPro si vous avez besoin de plus d'espace.
</v>
      </c>
      <c r="C10" s="723"/>
      <c r="D10" s="723"/>
      <c r="E10" s="723"/>
      <c r="F10" s="723"/>
      <c r="G10" s="723"/>
      <c r="H10" s="723"/>
      <c r="I10" s="723"/>
      <c r="J10" s="723"/>
      <c r="K10" s="723"/>
      <c r="L10" s="724"/>
      <c r="M10" s="14"/>
      <c r="N10" s="14"/>
      <c r="O10" s="10"/>
      <c r="P10" s="10"/>
    </row>
    <row r="11" spans="1:16" s="9" customFormat="1" x14ac:dyDescent="0.35">
      <c r="A11" s="13"/>
      <c r="B11" s="244"/>
      <c r="C11" s="241"/>
      <c r="D11" s="241"/>
      <c r="E11" s="28"/>
      <c r="F11" s="28"/>
      <c r="G11" s="28"/>
      <c r="H11" s="28"/>
      <c r="I11" s="28"/>
      <c r="J11" s="28"/>
      <c r="K11" s="28"/>
      <c r="L11" s="243"/>
      <c r="M11" s="14"/>
      <c r="N11" s="14"/>
      <c r="O11" s="10"/>
      <c r="P11" s="10"/>
    </row>
    <row r="12" spans="1:16" s="9" customFormat="1" x14ac:dyDescent="0.35">
      <c r="A12" s="13"/>
      <c r="B12" s="722" t="str">
        <f>IF(Intro!$G$21="English",O12,P12)</f>
        <v>Pour les questions de cet onglet, notez ce qui suit :</v>
      </c>
      <c r="C12" s="723"/>
      <c r="D12" s="723"/>
      <c r="E12" s="723"/>
      <c r="F12" s="723"/>
      <c r="G12" s="723"/>
      <c r="H12" s="723"/>
      <c r="I12" s="723"/>
      <c r="J12" s="723"/>
      <c r="K12" s="723"/>
      <c r="L12" s="724"/>
      <c r="M12" s="14"/>
      <c r="N12" s="14"/>
      <c r="O12" s="10" t="s">
        <v>191</v>
      </c>
      <c r="P12" s="10" t="s">
        <v>192</v>
      </c>
    </row>
    <row r="13" spans="1:16" s="9" customFormat="1" x14ac:dyDescent="0.35">
      <c r="A13" s="13"/>
      <c r="B13" s="845" t="str">
        <f>IF(Intro!$G$21="English",O13,P13)</f>
        <v xml:space="preserve">• Indiquez seulement les ventes effectuées à partir de la production de votre entreprise au Canada. Les ventes de marchandises achetées auprès d’autres producteurs canadiens doivent être exclues. </v>
      </c>
      <c r="C13" s="846"/>
      <c r="D13" s="846"/>
      <c r="E13" s="846"/>
      <c r="F13" s="846"/>
      <c r="G13" s="846"/>
      <c r="H13" s="846"/>
      <c r="I13" s="846"/>
      <c r="J13" s="846"/>
      <c r="K13" s="846"/>
      <c r="L13" s="847"/>
      <c r="M13" s="14"/>
      <c r="N13" s="14"/>
      <c r="O13" s="10" t="s">
        <v>651</v>
      </c>
      <c r="P13" s="10" t="s">
        <v>652</v>
      </c>
    </row>
    <row r="14" spans="1:16" s="9" customFormat="1" x14ac:dyDescent="0.35">
      <c r="A14" s="13"/>
      <c r="B14" s="722" t="str">
        <f>IF(Intro!$G$21="English",O14,P14)</f>
        <v>• Déclarez toutes les ventes aux entreprises associées canadiennes et étrangères.</v>
      </c>
      <c r="C14" s="723"/>
      <c r="D14" s="723"/>
      <c r="E14" s="723"/>
      <c r="F14" s="723"/>
      <c r="G14" s="723"/>
      <c r="H14" s="723"/>
      <c r="I14" s="723"/>
      <c r="J14" s="723"/>
      <c r="K14" s="723"/>
      <c r="L14" s="724"/>
      <c r="M14" s="14"/>
      <c r="N14" s="14"/>
      <c r="O14" s="10" t="s">
        <v>578</v>
      </c>
      <c r="P14" s="10" t="s">
        <v>581</v>
      </c>
    </row>
    <row r="15" spans="1:16" s="9" customFormat="1" x14ac:dyDescent="0.35">
      <c r="A15" s="13"/>
      <c r="B15" s="722" t="str">
        <f>IF(Intro!$G$21="English",O15,P15)</f>
        <v>• Déclarez toutes les ventes à compter de la date de l’expédition au client ou à son entrepôt.</v>
      </c>
      <c r="C15" s="723"/>
      <c r="D15" s="723"/>
      <c r="E15" s="723"/>
      <c r="F15" s="723"/>
      <c r="G15" s="723"/>
      <c r="H15" s="723"/>
      <c r="I15" s="723"/>
      <c r="J15" s="723"/>
      <c r="K15" s="723"/>
      <c r="L15" s="724"/>
      <c r="M15" s="14"/>
      <c r="N15" s="14"/>
      <c r="O15" s="10" t="s">
        <v>579</v>
      </c>
      <c r="P15" s="10" t="s">
        <v>582</v>
      </c>
    </row>
    <row r="16" spans="1:16" s="9" customFormat="1" x14ac:dyDescent="0.35">
      <c r="A16" s="13"/>
      <c r="B16" s="725" t="str">
        <f>IF(Intro!$G$21="English",O16,P16)</f>
        <v>• Déclarez toutes les valeurs en dollars canadiens (CAD).</v>
      </c>
      <c r="C16" s="726"/>
      <c r="D16" s="726"/>
      <c r="E16" s="726"/>
      <c r="F16" s="726"/>
      <c r="G16" s="726"/>
      <c r="H16" s="726"/>
      <c r="I16" s="726"/>
      <c r="J16" s="726"/>
      <c r="K16" s="726"/>
      <c r="L16" s="727"/>
      <c r="M16" s="14"/>
      <c r="N16" s="14"/>
      <c r="O16" s="10" t="s">
        <v>580</v>
      </c>
      <c r="P16" s="10" t="s">
        <v>583</v>
      </c>
    </row>
    <row r="17" spans="1:16" s="9" customFormat="1" x14ac:dyDescent="0.35">
      <c r="A17" s="13"/>
      <c r="B17" s="22"/>
      <c r="C17" s="22"/>
      <c r="D17" s="22"/>
      <c r="E17" s="23"/>
      <c r="F17" s="23"/>
      <c r="G17" s="23"/>
      <c r="H17" s="23"/>
      <c r="I17" s="23"/>
      <c r="J17" s="23"/>
      <c r="K17" s="23"/>
      <c r="L17" s="23"/>
      <c r="O17" s="10"/>
      <c r="P17" s="10"/>
    </row>
    <row r="18" spans="1:16" x14ac:dyDescent="0.35">
      <c r="B18" s="599" t="str">
        <f>IF(Intro!$G$21="English",O18,P18)</f>
        <v>VENTES ET STOCKS</v>
      </c>
      <c r="C18" s="600"/>
      <c r="D18" s="600"/>
      <c r="E18" s="600"/>
      <c r="F18" s="600"/>
      <c r="G18" s="600"/>
      <c r="H18" s="600"/>
      <c r="I18" s="600"/>
      <c r="J18" s="600"/>
      <c r="K18" s="600"/>
      <c r="L18" s="601"/>
      <c r="M18" s="2"/>
      <c r="O18" s="198" t="s">
        <v>647</v>
      </c>
      <c r="P18" s="198" t="s">
        <v>648</v>
      </c>
    </row>
    <row r="19" spans="1:16" x14ac:dyDescent="0.35">
      <c r="B19" s="728" t="s">
        <v>20</v>
      </c>
      <c r="C19" s="729"/>
      <c r="D19" s="729"/>
      <c r="E19" s="729"/>
      <c r="F19" s="729"/>
      <c r="G19" s="729"/>
      <c r="H19" s="729"/>
      <c r="I19" s="729"/>
      <c r="J19" s="729"/>
      <c r="K19" s="729"/>
      <c r="L19" s="730"/>
      <c r="M19" s="2"/>
    </row>
    <row r="20" spans="1:16" x14ac:dyDescent="0.35">
      <c r="B20" s="24"/>
      <c r="C20" s="25"/>
      <c r="D20" s="25"/>
      <c r="E20" s="26"/>
      <c r="F20" s="26"/>
      <c r="G20" s="26"/>
      <c r="H20" s="26"/>
      <c r="I20" s="26"/>
      <c r="J20" s="26"/>
      <c r="K20" s="26"/>
      <c r="L20" s="27"/>
      <c r="M20" s="2"/>
    </row>
    <row r="21" spans="1:16" x14ac:dyDescent="0.35">
      <c r="B21" s="602" t="str">
        <f>IF(Intro!$G$21="English",O21,P21)</f>
        <v>Remplir le tableau suivant pour les ventes et les stocks des marchandises par votre entreprise.</v>
      </c>
      <c r="C21" s="603"/>
      <c r="D21" s="603"/>
      <c r="E21" s="603"/>
      <c r="F21" s="603"/>
      <c r="G21" s="603"/>
      <c r="H21" s="603"/>
      <c r="I21" s="603"/>
      <c r="J21" s="603"/>
      <c r="K21" s="603"/>
      <c r="L21" s="604"/>
      <c r="M21" s="2"/>
      <c r="O21" s="11" t="s">
        <v>190</v>
      </c>
      <c r="P21" s="2" t="s">
        <v>682</v>
      </c>
    </row>
    <row r="22" spans="1:16" x14ac:dyDescent="0.35">
      <c r="B22" s="159"/>
      <c r="C22" s="160"/>
      <c r="D22" s="25"/>
      <c r="E22" s="26"/>
      <c r="F22" s="26"/>
      <c r="G22" s="26"/>
      <c r="H22" s="26"/>
      <c r="I22" s="26"/>
      <c r="J22" s="26"/>
      <c r="K22" s="26"/>
      <c r="L22" s="27"/>
      <c r="M22" s="2"/>
      <c r="O22" s="11"/>
    </row>
    <row r="23" spans="1:16" x14ac:dyDescent="0.35">
      <c r="B23" s="159"/>
      <c r="C23" s="160"/>
      <c r="D23" s="25"/>
      <c r="E23" s="2"/>
      <c r="F23" s="2"/>
      <c r="G23" s="835">
        <f>Variables!$B$6</f>
        <v>2023</v>
      </c>
      <c r="H23" s="835">
        <f>G23+1</f>
        <v>2024</v>
      </c>
      <c r="I23" s="835">
        <f>H23+1</f>
        <v>2025</v>
      </c>
      <c r="J23" s="835" t="str">
        <f>IF(Intro!$G$21="English",Variables!B9,Variables!C9)</f>
        <v>janv.-mars 2025</v>
      </c>
      <c r="K23" s="769" t="str">
        <f>IF(Intro!$G$21="English",Variables!B10,Variables!C10)</f>
        <v>janv.-mars 2026</v>
      </c>
      <c r="L23" s="258"/>
      <c r="M23" s="2"/>
      <c r="O23" s="11"/>
    </row>
    <row r="24" spans="1:16" ht="14.5" thickBot="1" x14ac:dyDescent="0.4">
      <c r="B24" s="159"/>
      <c r="C24" s="160"/>
      <c r="D24" s="25"/>
      <c r="E24" s="2"/>
      <c r="F24" s="2"/>
      <c r="G24" s="848"/>
      <c r="H24" s="848"/>
      <c r="I24" s="848"/>
      <c r="J24" s="848"/>
      <c r="K24" s="835"/>
      <c r="L24" s="258"/>
      <c r="M24" s="2"/>
      <c r="O24" s="11"/>
    </row>
    <row r="25" spans="1:16" x14ac:dyDescent="0.35">
      <c r="B25" s="824" t="str">
        <f>IF(Intro!$G$21="English",O25,P25)</f>
        <v>Stock d'ouverture - ne pas inclure la production utilisée à l'interne ou destinée à la transformation ultérieure à l’interne</v>
      </c>
      <c r="C25" s="825"/>
      <c r="D25" s="825"/>
      <c r="E25" s="843" t="str">
        <f>IF(Intro!$G$21="English",Variables!$B$23,Variables!$C$23)</f>
        <v>mètres</v>
      </c>
      <c r="F25" s="844"/>
      <c r="G25" s="247"/>
      <c r="H25" s="248">
        <f t="shared" ref="H25:I25" si="0">G40</f>
        <v>0</v>
      </c>
      <c r="I25" s="248">
        <f t="shared" si="0"/>
        <v>0</v>
      </c>
      <c r="J25" s="248">
        <f>H40</f>
        <v>0</v>
      </c>
      <c r="K25" s="248">
        <f>I40</f>
        <v>0</v>
      </c>
      <c r="L25" s="258"/>
      <c r="M25" s="2"/>
      <c r="O25" s="2" t="s">
        <v>755</v>
      </c>
      <c r="P25" s="2" t="s">
        <v>756</v>
      </c>
    </row>
    <row r="26" spans="1:16" x14ac:dyDescent="0.35">
      <c r="B26" s="826"/>
      <c r="C26" s="827"/>
      <c r="D26" s="827"/>
      <c r="E26" s="839" t="s">
        <v>559</v>
      </c>
      <c r="F26" s="840"/>
      <c r="G26" s="249"/>
      <c r="H26" s="250">
        <f t="shared" ref="H26:I26" si="1">G41</f>
        <v>0</v>
      </c>
      <c r="I26" s="250">
        <f t="shared" si="1"/>
        <v>0</v>
      </c>
      <c r="J26" s="250">
        <f>H41</f>
        <v>0</v>
      </c>
      <c r="K26" s="250">
        <f>I41</f>
        <v>0</v>
      </c>
      <c r="L26" s="258"/>
      <c r="M26" s="2"/>
    </row>
    <row r="27" spans="1:16" ht="14.5" thickBot="1" x14ac:dyDescent="0.4">
      <c r="B27" s="828"/>
      <c r="C27" s="829"/>
      <c r="D27" s="829"/>
      <c r="E27" s="841" t="str">
        <f>"$ / "&amp;IF(Intro!$G$21="English",Variables!$B$24,Variables!$C$24)</f>
        <v>$ / mètre</v>
      </c>
      <c r="F27" s="842"/>
      <c r="G27" s="251" t="str">
        <f t="shared" ref="G27:I27" si="2">IF(G25=0,"-",G26/G25)</f>
        <v>-</v>
      </c>
      <c r="H27" s="251" t="str">
        <f t="shared" si="2"/>
        <v>-</v>
      </c>
      <c r="I27" s="251" t="str">
        <f t="shared" si="2"/>
        <v>-</v>
      </c>
      <c r="J27" s="251" t="str">
        <f t="shared" ref="J27:K27" si="3">IF(J25=0,"-",J26/J25)</f>
        <v>-</v>
      </c>
      <c r="K27" s="251" t="str">
        <f t="shared" si="3"/>
        <v>-</v>
      </c>
      <c r="L27" s="258"/>
      <c r="M27" s="2"/>
    </row>
    <row r="28" spans="1:16" x14ac:dyDescent="0.35">
      <c r="B28" s="824" t="str">
        <f>IF(Intro!$G$21="English",O28,P28)</f>
        <v>Ventes aux distributeurs au Canada</v>
      </c>
      <c r="C28" s="830"/>
      <c r="D28" s="830"/>
      <c r="E28" s="843" t="str">
        <f>IF(Intro!$G$21="English",Variables!$B$23,Variables!$C$23)</f>
        <v>mètres</v>
      </c>
      <c r="F28" s="844"/>
      <c r="G28" s="247"/>
      <c r="H28" s="247"/>
      <c r="I28" s="247"/>
      <c r="J28" s="247"/>
      <c r="K28" s="247"/>
      <c r="L28" s="258"/>
      <c r="M28" s="2"/>
      <c r="O28" s="2" t="str">
        <f>"Sales to "&amp;Variables!$B$26&amp;" in Canada"</f>
        <v>Sales to distributors in Canada</v>
      </c>
      <c r="P28" s="2" t="str">
        <f>"Ventes aux "&amp;Variables!$C$26&amp;" au Canada"</f>
        <v>Ventes aux distributeurs au Canada</v>
      </c>
    </row>
    <row r="29" spans="1:16" x14ac:dyDescent="0.35">
      <c r="B29" s="826"/>
      <c r="C29" s="831"/>
      <c r="D29" s="831"/>
      <c r="E29" s="839" t="str">
        <f>IF(Intro!G$21="English","net delivered selling value (CAD)","valeur de vente nette rendue (CAD)")</f>
        <v>valeur de vente nette rendue (CAD)</v>
      </c>
      <c r="F29" s="840"/>
      <c r="G29" s="249"/>
      <c r="H29" s="249"/>
      <c r="I29" s="249"/>
      <c r="J29" s="249"/>
      <c r="K29" s="249"/>
      <c r="L29" s="258"/>
      <c r="M29" s="2"/>
    </row>
    <row r="30" spans="1:16" ht="14.5" thickBot="1" x14ac:dyDescent="0.4">
      <c r="B30" s="828"/>
      <c r="C30" s="832"/>
      <c r="D30" s="832"/>
      <c r="E30" s="841" t="str">
        <f>"$ / "&amp;IF(Intro!$G$21="English",Variables!$B$24,Variables!$C$24)</f>
        <v>$ / mètre</v>
      </c>
      <c r="F30" s="842"/>
      <c r="G30" s="251" t="str">
        <f t="shared" ref="G30:I30" si="4">IF(G28=0,"-",G29/G28)</f>
        <v>-</v>
      </c>
      <c r="H30" s="251" t="str">
        <f t="shared" si="4"/>
        <v>-</v>
      </c>
      <c r="I30" s="251" t="str">
        <f t="shared" si="4"/>
        <v>-</v>
      </c>
      <c r="J30" s="251" t="str">
        <f t="shared" ref="J30:K30" si="5">IF(J28=0,"-",J29/J28)</f>
        <v>-</v>
      </c>
      <c r="K30" s="251" t="str">
        <f t="shared" si="5"/>
        <v>-</v>
      </c>
      <c r="L30" s="258"/>
      <c r="M30" s="2"/>
    </row>
    <row r="31" spans="1:16" x14ac:dyDescent="0.35">
      <c r="B31" s="824" t="str">
        <f>IF(Intro!$G$21="English",O31,P31)</f>
        <v>Ventes aux détaillants/utilisateurs finals au Canada</v>
      </c>
      <c r="C31" s="830"/>
      <c r="D31" s="830"/>
      <c r="E31" s="843" t="str">
        <f>IF(Intro!$G$21="English",Variables!$B$23,Variables!$C$23)</f>
        <v>mètres</v>
      </c>
      <c r="F31" s="844"/>
      <c r="G31" s="247"/>
      <c r="H31" s="247"/>
      <c r="I31" s="247"/>
      <c r="J31" s="247"/>
      <c r="K31" s="247"/>
      <c r="L31" s="258"/>
      <c r="M31" s="2"/>
      <c r="O31" s="2" t="str">
        <f>"Sales to "&amp;Variables!$B$27&amp;" in Canada"</f>
        <v>Sales to retailers/end users in Canada</v>
      </c>
      <c r="P31" s="2" t="str">
        <f>"Ventes aux "&amp;Variables!$C$27&amp;" au Canada"</f>
        <v>Ventes aux détaillants/utilisateurs finals au Canada</v>
      </c>
    </row>
    <row r="32" spans="1:16" x14ac:dyDescent="0.35">
      <c r="B32" s="826"/>
      <c r="C32" s="831"/>
      <c r="D32" s="831"/>
      <c r="E32" s="839" t="str">
        <f>IF(Intro!G$21="English","net delivered selling value (CAD)","valeur de vente nette rendue (CAD)")</f>
        <v>valeur de vente nette rendue (CAD)</v>
      </c>
      <c r="F32" s="840"/>
      <c r="G32" s="249"/>
      <c r="H32" s="249"/>
      <c r="I32" s="249"/>
      <c r="J32" s="249"/>
      <c r="K32" s="249"/>
      <c r="L32" s="258"/>
      <c r="M32" s="2"/>
    </row>
    <row r="33" spans="1:16" ht="14.5" thickBot="1" x14ac:dyDescent="0.4">
      <c r="B33" s="828"/>
      <c r="C33" s="832"/>
      <c r="D33" s="832"/>
      <c r="E33" s="841" t="str">
        <f>"$ / "&amp;IF(Intro!$G$21="English",Variables!$B$24,Variables!$C$24)</f>
        <v>$ / mètre</v>
      </c>
      <c r="F33" s="842"/>
      <c r="G33" s="251" t="str">
        <f t="shared" ref="G33:I33" si="6">IF(G31=0,"-",G32/G31)</f>
        <v>-</v>
      </c>
      <c r="H33" s="251" t="str">
        <f t="shared" si="6"/>
        <v>-</v>
      </c>
      <c r="I33" s="251" t="str">
        <f t="shared" si="6"/>
        <v>-</v>
      </c>
      <c r="J33" s="251" t="str">
        <f t="shared" ref="J33:K33" si="7">IF(J31=0,"-",J32/J31)</f>
        <v>-</v>
      </c>
      <c r="K33" s="251" t="str">
        <f t="shared" si="7"/>
        <v>-</v>
      </c>
      <c r="L33" s="258"/>
      <c r="M33" s="2"/>
    </row>
    <row r="34" spans="1:16" x14ac:dyDescent="0.35">
      <c r="B34" s="837" t="str">
        <f>IF(Intro!$G$21="English",O34,P34)</f>
        <v>Ventes totales au Canada</v>
      </c>
      <c r="C34" s="838"/>
      <c r="D34" s="838"/>
      <c r="E34" s="843" t="str">
        <f>IF(Intro!$G$21="English",Variables!$B$23,Variables!$C$23)</f>
        <v>mètres</v>
      </c>
      <c r="F34" s="844"/>
      <c r="G34" s="248">
        <f>G28+G31</f>
        <v>0</v>
      </c>
      <c r="H34" s="248">
        <f t="shared" ref="H34:K35" si="8">H28+H31</f>
        <v>0</v>
      </c>
      <c r="I34" s="248">
        <f t="shared" si="8"/>
        <v>0</v>
      </c>
      <c r="J34" s="248">
        <f t="shared" si="8"/>
        <v>0</v>
      </c>
      <c r="K34" s="248">
        <f t="shared" si="8"/>
        <v>0</v>
      </c>
      <c r="L34" s="258"/>
      <c r="M34" s="2"/>
      <c r="O34" s="2" t="s">
        <v>805</v>
      </c>
      <c r="P34" s="2" t="s">
        <v>806</v>
      </c>
    </row>
    <row r="35" spans="1:16" x14ac:dyDescent="0.35">
      <c r="B35" s="826"/>
      <c r="C35" s="831"/>
      <c r="D35" s="831"/>
      <c r="E35" s="839" t="str">
        <f>IF(Intro!G$21="English","net delivered selling value (CAD)","valeur de vente nette rendue (CAD)")</f>
        <v>valeur de vente nette rendue (CAD)</v>
      </c>
      <c r="F35" s="840"/>
      <c r="G35" s="250">
        <f>G29+G32</f>
        <v>0</v>
      </c>
      <c r="H35" s="250">
        <f t="shared" si="8"/>
        <v>0</v>
      </c>
      <c r="I35" s="250">
        <f t="shared" si="8"/>
        <v>0</v>
      </c>
      <c r="J35" s="250">
        <f t="shared" si="8"/>
        <v>0</v>
      </c>
      <c r="K35" s="250">
        <f t="shared" si="8"/>
        <v>0</v>
      </c>
      <c r="L35" s="258"/>
      <c r="M35" s="2"/>
    </row>
    <row r="36" spans="1:16" ht="14.5" thickBot="1" x14ac:dyDescent="0.4">
      <c r="B36" s="828"/>
      <c r="C36" s="832"/>
      <c r="D36" s="832"/>
      <c r="E36" s="841" t="str">
        <f>"$ / "&amp;IF(Intro!$G$21="English",Variables!$B$24,Variables!$C$24)</f>
        <v>$ / mètre</v>
      </c>
      <c r="F36" s="842"/>
      <c r="G36" s="251" t="str">
        <f t="shared" ref="G36:K36" si="9">IF(G34=0,"-",G35/G34)</f>
        <v>-</v>
      </c>
      <c r="H36" s="251" t="str">
        <f t="shared" si="9"/>
        <v>-</v>
      </c>
      <c r="I36" s="251" t="str">
        <f t="shared" si="9"/>
        <v>-</v>
      </c>
      <c r="J36" s="251" t="str">
        <f t="shared" si="9"/>
        <v>-</v>
      </c>
      <c r="K36" s="251" t="str">
        <f t="shared" si="9"/>
        <v>-</v>
      </c>
      <c r="L36" s="258"/>
      <c r="M36" s="2"/>
    </row>
    <row r="37" spans="1:16" x14ac:dyDescent="0.35">
      <c r="B37" s="837" t="str">
        <f>IF(Intro!$G$21="English",O37,P37)</f>
        <v>Ventes à l'exportation</v>
      </c>
      <c r="C37" s="838"/>
      <c r="D37" s="838"/>
      <c r="E37" s="843" t="str">
        <f>IF(Intro!$G$21="English",Variables!$B$23,Variables!$C$23)</f>
        <v>mètres</v>
      </c>
      <c r="F37" s="844"/>
      <c r="G37" s="252"/>
      <c r="H37" s="252"/>
      <c r="I37" s="252"/>
      <c r="J37" s="252"/>
      <c r="K37" s="252"/>
      <c r="L37" s="258"/>
      <c r="M37" s="2"/>
      <c r="O37" s="2" t="s">
        <v>565</v>
      </c>
      <c r="P37" s="2" t="s">
        <v>42</v>
      </c>
    </row>
    <row r="38" spans="1:16" x14ac:dyDescent="0.35">
      <c r="B38" s="826"/>
      <c r="C38" s="831"/>
      <c r="D38" s="831"/>
      <c r="E38" s="839" t="str">
        <f>IF(Intro!G$21="English","net delivered selling value (CAD)","valeur de vente nette rendue (CAD)")</f>
        <v>valeur de vente nette rendue (CAD)</v>
      </c>
      <c r="F38" s="840"/>
      <c r="G38" s="249"/>
      <c r="H38" s="249"/>
      <c r="I38" s="249"/>
      <c r="J38" s="249"/>
      <c r="K38" s="249"/>
      <c r="L38" s="258"/>
      <c r="M38" s="2"/>
    </row>
    <row r="39" spans="1:16" ht="14.5" thickBot="1" x14ac:dyDescent="0.4">
      <c r="B39" s="828"/>
      <c r="C39" s="832"/>
      <c r="D39" s="832"/>
      <c r="E39" s="841" t="str">
        <f>"$ / "&amp;IF(Intro!$G$21="English",Variables!$B$24,Variables!$C$24)</f>
        <v>$ / mètre</v>
      </c>
      <c r="F39" s="842"/>
      <c r="G39" s="251" t="str">
        <f t="shared" ref="G39:I39" si="10">IF(G37=0,"-",G38/G37)</f>
        <v>-</v>
      </c>
      <c r="H39" s="251" t="str">
        <f t="shared" si="10"/>
        <v>-</v>
      </c>
      <c r="I39" s="251" t="str">
        <f t="shared" si="10"/>
        <v>-</v>
      </c>
      <c r="J39" s="251" t="str">
        <f t="shared" ref="J39:K39" si="11">IF(J37=0,"-",J38/J37)</f>
        <v>-</v>
      </c>
      <c r="K39" s="251" t="str">
        <f t="shared" si="11"/>
        <v>-</v>
      </c>
      <c r="L39" s="258"/>
      <c r="M39" s="2"/>
    </row>
    <row r="40" spans="1:16" x14ac:dyDescent="0.35">
      <c r="B40" s="837" t="str">
        <f>IF(Intro!$G$21="English",O40,P40)</f>
        <v>Stock de clôture - ne pas inclure la production utilisée à l'interne ou destinée à la transformation ultérieure à l’interne</v>
      </c>
      <c r="C40" s="838"/>
      <c r="D40" s="838"/>
      <c r="E40" s="843" t="str">
        <f>IF(Intro!$G$21="English",Variables!$B$23,Variables!$C$23)</f>
        <v>mètres</v>
      </c>
      <c r="F40" s="844"/>
      <c r="G40" s="252"/>
      <c r="H40" s="252"/>
      <c r="I40" s="252"/>
      <c r="J40" s="252"/>
      <c r="K40" s="252"/>
      <c r="L40" s="258"/>
      <c r="M40" s="2"/>
      <c r="O40" s="2" t="s">
        <v>757</v>
      </c>
      <c r="P40" s="2" t="s">
        <v>758</v>
      </c>
    </row>
    <row r="41" spans="1:16" x14ac:dyDescent="0.35">
      <c r="B41" s="826"/>
      <c r="C41" s="831"/>
      <c r="D41" s="831"/>
      <c r="E41" s="839" t="s">
        <v>559</v>
      </c>
      <c r="F41" s="840"/>
      <c r="G41" s="249"/>
      <c r="H41" s="249"/>
      <c r="I41" s="249"/>
      <c r="J41" s="249"/>
      <c r="K41" s="249"/>
      <c r="L41" s="258"/>
      <c r="M41" s="2"/>
    </row>
    <row r="42" spans="1:16" ht="14.5" thickBot="1" x14ac:dyDescent="0.4">
      <c r="B42" s="828"/>
      <c r="C42" s="832"/>
      <c r="D42" s="832"/>
      <c r="E42" s="841" t="str">
        <f>"$ / "&amp;IF(Intro!$G$21="English",Variables!$B$24,Variables!$C$24)</f>
        <v>$ / mètre</v>
      </c>
      <c r="F42" s="842"/>
      <c r="G42" s="251" t="str">
        <f t="shared" ref="G42:I42" si="12">IF(G40=0,"-",G41/G40)</f>
        <v>-</v>
      </c>
      <c r="H42" s="251" t="str">
        <f t="shared" si="12"/>
        <v>-</v>
      </c>
      <c r="I42" s="251" t="str">
        <f t="shared" si="12"/>
        <v>-</v>
      </c>
      <c r="J42" s="251" t="str">
        <f t="shared" ref="J42:K42" si="13">IF(J40=0,"-",J41/J40)</f>
        <v>-</v>
      </c>
      <c r="K42" s="251" t="str">
        <f t="shared" si="13"/>
        <v>-</v>
      </c>
      <c r="L42" s="258"/>
      <c r="M42" s="2"/>
    </row>
    <row r="43" spans="1:16" x14ac:dyDescent="0.35">
      <c r="B43" s="175"/>
      <c r="C43" s="176"/>
      <c r="D43" s="176"/>
      <c r="E43" s="176"/>
      <c r="F43" s="176"/>
      <c r="G43" s="176"/>
      <c r="H43" s="176"/>
      <c r="I43" s="176"/>
      <c r="J43" s="176"/>
      <c r="K43" s="176"/>
      <c r="L43" s="177"/>
      <c r="M43" s="2"/>
    </row>
    <row r="44" spans="1:16" s="3" customFormat="1" x14ac:dyDescent="0.35">
      <c r="A44" s="12"/>
      <c r="B44" s="710" t="s">
        <v>21</v>
      </c>
      <c r="C44" s="711"/>
      <c r="D44" s="711"/>
      <c r="E44" s="711"/>
      <c r="F44" s="711"/>
      <c r="G44" s="711"/>
      <c r="H44" s="711"/>
      <c r="I44" s="711"/>
      <c r="J44" s="711"/>
      <c r="K44" s="711"/>
      <c r="L44" s="712"/>
      <c r="M44" s="167"/>
      <c r="O44" s="2"/>
    </row>
    <row r="45" spans="1:16" x14ac:dyDescent="0.35">
      <c r="B45" s="169"/>
      <c r="C45" s="170"/>
      <c r="D45" s="170"/>
      <c r="E45" s="170"/>
      <c r="F45" s="170"/>
      <c r="G45" s="170"/>
      <c r="H45" s="170"/>
      <c r="I45" s="170"/>
      <c r="J45" s="170"/>
      <c r="K45" s="170"/>
      <c r="L45" s="171"/>
      <c r="M45" s="2"/>
    </row>
    <row r="46" spans="1:16" ht="14.5" x14ac:dyDescent="0.35">
      <c r="B46" s="608" t="str">
        <f>IF(Intro!$G$21="English",O46,P46)</f>
        <v>En utilisant les données fournies à la question 1 des onglets Pro 1 et Pro 2, le questionnaire calcule le stock de clôture comme suit :</v>
      </c>
      <c r="C46" s="609"/>
      <c r="D46" s="609"/>
      <c r="E46" s="609"/>
      <c r="F46" s="609"/>
      <c r="G46" s="609"/>
      <c r="H46" s="609"/>
      <c r="I46" s="609"/>
      <c r="J46" s="609"/>
      <c r="K46" s="609"/>
      <c r="L46" s="610"/>
      <c r="M46" s="2"/>
      <c r="O46" t="s">
        <v>713</v>
      </c>
      <c r="P46" s="2" t="s">
        <v>714</v>
      </c>
    </row>
    <row r="47" spans="1:16" x14ac:dyDescent="0.35">
      <c r="B47" s="608"/>
      <c r="C47" s="609"/>
      <c r="D47" s="609"/>
      <c r="E47" s="609"/>
      <c r="F47" s="609"/>
      <c r="G47" s="609"/>
      <c r="H47" s="609"/>
      <c r="I47" s="609"/>
      <c r="J47" s="609"/>
      <c r="K47" s="609"/>
      <c r="L47" s="610"/>
      <c r="M47" s="2"/>
    </row>
    <row r="48" spans="1:16" x14ac:dyDescent="0.35">
      <c r="B48" s="159"/>
      <c r="C48" s="160"/>
      <c r="D48" s="25"/>
      <c r="E48" s="2"/>
      <c r="F48" s="2"/>
      <c r="G48" s="835">
        <f>Variables!$B$6</f>
        <v>2023</v>
      </c>
      <c r="H48" s="835">
        <f>G48+1</f>
        <v>2024</v>
      </c>
      <c r="I48" s="835">
        <f>H48+1</f>
        <v>2025</v>
      </c>
      <c r="J48" s="835" t="str">
        <f>J23</f>
        <v>janv.-mars 2025</v>
      </c>
      <c r="K48" s="835" t="str">
        <f>K23</f>
        <v>janv.-mars 2026</v>
      </c>
      <c r="L48" s="258"/>
      <c r="M48" s="2"/>
      <c r="O48" s="11"/>
    </row>
    <row r="49" spans="1:16" x14ac:dyDescent="0.35">
      <c r="B49" s="159"/>
      <c r="C49" s="160"/>
      <c r="D49" s="25"/>
      <c r="E49" s="2"/>
      <c r="F49" s="2"/>
      <c r="G49" s="836"/>
      <c r="H49" s="836"/>
      <c r="I49" s="836"/>
      <c r="J49" s="836"/>
      <c r="K49" s="836"/>
      <c r="L49" s="258"/>
      <c r="M49" s="2"/>
      <c r="O49" s="11"/>
    </row>
    <row r="50" spans="1:16" x14ac:dyDescent="0.35">
      <c r="B50" s="851" t="str">
        <f>IF(Intro!$G$21="English",O53,P53)</f>
        <v>Stock de clôture calculé</v>
      </c>
      <c r="C50" s="852"/>
      <c r="D50" s="852"/>
      <c r="E50" s="852"/>
      <c r="F50" s="857" t="str">
        <f>IF(Intro!$G$21="English",Variables!$B$23,Variables!$C$23)</f>
        <v>mètres</v>
      </c>
      <c r="G50" s="860" t="str">
        <f ca="1">_xlfn.FORMULATEXT(G53)</f>
        <v>=G25+'Pro 1'!G25-'Pro 1'!G23-G34-G37</v>
      </c>
      <c r="H50" s="860" t="str">
        <f t="shared" ref="H50:K50" ca="1" si="14">_xlfn.FORMULATEXT(H53)</f>
        <v>=H25+'Pro 1'!H25-'Pro 1'!H23-H34-H37</v>
      </c>
      <c r="I50" s="860" t="str">
        <f t="shared" ca="1" si="14"/>
        <v>=I25+'Pro 1'!I25-'Pro 1'!I23-I34-I37</v>
      </c>
      <c r="J50" s="860" t="str">
        <f t="shared" ca="1" si="14"/>
        <v>=J25+'Pro 1'!J25-'Pro 1'!J23-J34-J37</v>
      </c>
      <c r="K50" s="860" t="str">
        <f t="shared" ca="1" si="14"/>
        <v>=K25+'Pro 1'!K25-'Pro 1'!K23-K34-K37</v>
      </c>
      <c r="L50" s="258"/>
      <c r="M50" s="2"/>
      <c r="O50" s="11"/>
    </row>
    <row r="51" spans="1:16" x14ac:dyDescent="0.35">
      <c r="B51" s="853"/>
      <c r="C51" s="854"/>
      <c r="D51" s="854"/>
      <c r="E51" s="854"/>
      <c r="F51" s="858"/>
      <c r="G51" s="861"/>
      <c r="H51" s="861"/>
      <c r="I51" s="861"/>
      <c r="J51" s="861"/>
      <c r="K51" s="861"/>
      <c r="L51" s="258"/>
      <c r="M51" s="2"/>
      <c r="O51" s="11"/>
    </row>
    <row r="52" spans="1:16" x14ac:dyDescent="0.35">
      <c r="B52" s="853"/>
      <c r="C52" s="854"/>
      <c r="D52" s="854"/>
      <c r="E52" s="854"/>
      <c r="F52" s="858"/>
      <c r="G52" s="862"/>
      <c r="H52" s="862"/>
      <c r="I52" s="862"/>
      <c r="J52" s="862"/>
      <c r="K52" s="862"/>
      <c r="L52" s="258"/>
      <c r="M52" s="2"/>
      <c r="O52" s="11"/>
    </row>
    <row r="53" spans="1:16" x14ac:dyDescent="0.35">
      <c r="B53" s="855"/>
      <c r="C53" s="856"/>
      <c r="D53" s="856"/>
      <c r="E53" s="856"/>
      <c r="F53" s="859"/>
      <c r="G53" s="253">
        <f>G25+'Pro 1'!G25-'Pro 1'!G23-G34-G37</f>
        <v>0</v>
      </c>
      <c r="H53" s="253">
        <f>H25+'Pro 1'!H25-'Pro 1'!H23-H34-H37</f>
        <v>0</v>
      </c>
      <c r="I53" s="253">
        <f>I25+'Pro 1'!I25-'Pro 1'!I23-I34-I37</f>
        <v>0</v>
      </c>
      <c r="J53" s="253">
        <f>J25+'Pro 1'!J25-'Pro 1'!J23-J34-J37</f>
        <v>0</v>
      </c>
      <c r="K53" s="253">
        <f>K25+'Pro 1'!K25-'Pro 1'!K23-K34-K37</f>
        <v>0</v>
      </c>
      <c r="L53" s="258"/>
      <c r="M53" s="2"/>
      <c r="O53" s="2" t="s">
        <v>797</v>
      </c>
      <c r="P53" s="2" t="s">
        <v>798</v>
      </c>
    </row>
    <row r="54" spans="1:16" x14ac:dyDescent="0.35">
      <c r="B54" s="770" t="str">
        <f>IF(Intro!$G$21="English",O54,P54)</f>
        <v>Différence entre le stock de clôture déclaré à la question 1 ci-dessus et le stock de clôture calculé</v>
      </c>
      <c r="C54" s="771"/>
      <c r="D54" s="771"/>
      <c r="E54" s="772"/>
      <c r="F54" s="778" t="str">
        <f>IF(Intro!$G$21="English",Variables!$B$23,Variables!$C$23)</f>
        <v>mètres</v>
      </c>
      <c r="G54" s="849">
        <f>G40-G53</f>
        <v>0</v>
      </c>
      <c r="H54" s="849">
        <f>H40-H53</f>
        <v>0</v>
      </c>
      <c r="I54" s="849">
        <f>I40-I53</f>
        <v>0</v>
      </c>
      <c r="J54" s="849">
        <f>J40-J53</f>
        <v>0</v>
      </c>
      <c r="K54" s="833">
        <f>K40-K53</f>
        <v>0</v>
      </c>
      <c r="L54" s="258"/>
      <c r="M54" s="2"/>
      <c r="O54" s="2" t="s">
        <v>799</v>
      </c>
      <c r="P54" s="2" t="s">
        <v>800</v>
      </c>
    </row>
    <row r="55" spans="1:16" x14ac:dyDescent="0.35">
      <c r="B55" s="773"/>
      <c r="C55" s="774"/>
      <c r="D55" s="774"/>
      <c r="E55" s="775"/>
      <c r="F55" s="779"/>
      <c r="G55" s="850"/>
      <c r="H55" s="850"/>
      <c r="I55" s="850"/>
      <c r="J55" s="850"/>
      <c r="K55" s="834"/>
      <c r="L55" s="258"/>
      <c r="M55" s="2"/>
    </row>
    <row r="56" spans="1:16" x14ac:dyDescent="0.35">
      <c r="B56" s="169"/>
      <c r="C56" s="170"/>
      <c r="D56" s="170"/>
      <c r="E56" s="170"/>
      <c r="F56" s="170"/>
      <c r="G56" s="170"/>
      <c r="H56" s="170"/>
      <c r="I56" s="170"/>
      <c r="J56" s="170"/>
      <c r="K56" s="170"/>
      <c r="L56" s="171"/>
      <c r="M56" s="2"/>
    </row>
    <row r="57" spans="1:16" x14ac:dyDescent="0.35">
      <c r="B57" s="707" t="str">
        <f>IF(Intro!$G$21="English",O57,P57)</f>
        <v>Si le volume du stock de clôture à la question 1 sur l'onglet Pro 2 diffère du stock de clôture calculé, expliquez pourquoi il y a une différence.</v>
      </c>
      <c r="C57" s="708"/>
      <c r="D57" s="708"/>
      <c r="E57" s="708"/>
      <c r="F57" s="708"/>
      <c r="G57" s="708"/>
      <c r="H57" s="708"/>
      <c r="I57" s="708"/>
      <c r="J57" s="708"/>
      <c r="K57" s="708"/>
      <c r="L57" s="709"/>
      <c r="M57" s="2"/>
      <c r="O57" s="16" t="s">
        <v>355</v>
      </c>
      <c r="P57" s="2" t="s">
        <v>690</v>
      </c>
    </row>
    <row r="58" spans="1:16" x14ac:dyDescent="0.35">
      <c r="B58" s="169"/>
      <c r="C58" s="170"/>
      <c r="D58" s="170"/>
      <c r="E58" s="170"/>
      <c r="F58" s="170"/>
      <c r="G58" s="170"/>
      <c r="H58" s="170"/>
      <c r="I58" s="170"/>
      <c r="J58" s="170"/>
      <c r="K58" s="170"/>
      <c r="L58" s="171"/>
      <c r="M58" s="2"/>
    </row>
    <row r="59" spans="1:16" s="3" customFormat="1" x14ac:dyDescent="0.35">
      <c r="A59" s="12"/>
      <c r="B59" s="704"/>
      <c r="C59" s="705"/>
      <c r="D59" s="705"/>
      <c r="E59" s="705"/>
      <c r="F59" s="705"/>
      <c r="G59" s="705"/>
      <c r="H59" s="705"/>
      <c r="I59" s="705"/>
      <c r="J59" s="705"/>
      <c r="K59" s="705"/>
      <c r="L59" s="706"/>
      <c r="M59" s="152"/>
      <c r="O59" s="154"/>
      <c r="P59" s="154"/>
    </row>
    <row r="60" spans="1:16" s="3" customFormat="1" x14ac:dyDescent="0.35">
      <c r="A60" s="12"/>
      <c r="B60" s="704"/>
      <c r="C60" s="705"/>
      <c r="D60" s="705"/>
      <c r="E60" s="705"/>
      <c r="F60" s="705"/>
      <c r="G60" s="705"/>
      <c r="H60" s="705"/>
      <c r="I60" s="705"/>
      <c r="J60" s="705"/>
      <c r="K60" s="705"/>
      <c r="L60" s="706"/>
      <c r="M60" s="152"/>
      <c r="O60" s="154"/>
      <c r="P60" s="154"/>
    </row>
    <row r="61" spans="1:16" s="3" customFormat="1" x14ac:dyDescent="0.35">
      <c r="A61" s="12"/>
      <c r="B61" s="704"/>
      <c r="C61" s="705"/>
      <c r="D61" s="705"/>
      <c r="E61" s="705"/>
      <c r="F61" s="705"/>
      <c r="G61" s="705"/>
      <c r="H61" s="705"/>
      <c r="I61" s="705"/>
      <c r="J61" s="705"/>
      <c r="K61" s="705"/>
      <c r="L61" s="706"/>
      <c r="M61" s="152"/>
      <c r="O61" s="154"/>
      <c r="P61" s="154"/>
    </row>
    <row r="62" spans="1:16" s="3" customFormat="1" x14ac:dyDescent="0.35">
      <c r="A62" s="12"/>
      <c r="B62" s="704"/>
      <c r="C62" s="705"/>
      <c r="D62" s="705"/>
      <c r="E62" s="705"/>
      <c r="F62" s="705"/>
      <c r="G62" s="705"/>
      <c r="H62" s="705"/>
      <c r="I62" s="705"/>
      <c r="J62" s="705"/>
      <c r="K62" s="705"/>
      <c r="L62" s="706"/>
      <c r="M62" s="152"/>
      <c r="O62" s="154"/>
      <c r="P62" s="154"/>
    </row>
    <row r="63" spans="1:16" s="3" customFormat="1" x14ac:dyDescent="0.35">
      <c r="A63" s="12"/>
      <c r="B63" s="704"/>
      <c r="C63" s="705"/>
      <c r="D63" s="705"/>
      <c r="E63" s="705"/>
      <c r="F63" s="705"/>
      <c r="G63" s="705"/>
      <c r="H63" s="705"/>
      <c r="I63" s="705"/>
      <c r="J63" s="705"/>
      <c r="K63" s="705"/>
      <c r="L63" s="706"/>
      <c r="M63" s="152"/>
      <c r="O63" s="154"/>
      <c r="P63" s="154"/>
    </row>
    <row r="64" spans="1:16" s="3" customFormat="1" x14ac:dyDescent="0.35">
      <c r="A64" s="12"/>
      <c r="B64" s="704"/>
      <c r="C64" s="705"/>
      <c r="D64" s="705"/>
      <c r="E64" s="705"/>
      <c r="F64" s="705"/>
      <c r="G64" s="705"/>
      <c r="H64" s="705"/>
      <c r="I64" s="705"/>
      <c r="J64" s="705"/>
      <c r="K64" s="705"/>
      <c r="L64" s="706"/>
      <c r="M64" s="152"/>
      <c r="O64" s="154"/>
      <c r="P64" s="154"/>
    </row>
    <row r="65" spans="1:16" s="3" customFormat="1" x14ac:dyDescent="0.35">
      <c r="A65" s="12"/>
      <c r="B65" s="704"/>
      <c r="C65" s="705"/>
      <c r="D65" s="705"/>
      <c r="E65" s="705"/>
      <c r="F65" s="705"/>
      <c r="G65" s="705"/>
      <c r="H65" s="705"/>
      <c r="I65" s="705"/>
      <c r="J65" s="705"/>
      <c r="K65" s="705"/>
      <c r="L65" s="706"/>
      <c r="M65" s="152"/>
      <c r="O65" s="154"/>
      <c r="P65" s="154"/>
    </row>
    <row r="66" spans="1:16" s="3" customFormat="1" x14ac:dyDescent="0.35">
      <c r="A66" s="12"/>
      <c r="B66" s="704"/>
      <c r="C66" s="705"/>
      <c r="D66" s="705"/>
      <c r="E66" s="705"/>
      <c r="F66" s="705"/>
      <c r="G66" s="705"/>
      <c r="H66" s="705"/>
      <c r="I66" s="705"/>
      <c r="J66" s="705"/>
      <c r="K66" s="705"/>
      <c r="L66" s="706"/>
      <c r="M66" s="152"/>
      <c r="O66" s="154"/>
      <c r="P66" s="154"/>
    </row>
    <row r="67" spans="1:16" x14ac:dyDescent="0.35">
      <c r="B67" s="175"/>
      <c r="C67" s="176"/>
      <c r="D67" s="176"/>
      <c r="E67" s="176"/>
      <c r="F67" s="176"/>
      <c r="G67" s="176"/>
      <c r="H67" s="176"/>
      <c r="I67" s="176"/>
      <c r="J67" s="176"/>
      <c r="K67" s="176"/>
      <c r="L67" s="177"/>
      <c r="M67" s="2"/>
    </row>
    <row r="68" spans="1:16" s="3" customFormat="1" x14ac:dyDescent="0.35">
      <c r="A68" s="12"/>
      <c r="B68" s="710" t="s">
        <v>26</v>
      </c>
      <c r="C68" s="711"/>
      <c r="D68" s="711"/>
      <c r="E68" s="711"/>
      <c r="F68" s="711"/>
      <c r="G68" s="711"/>
      <c r="H68" s="711"/>
      <c r="I68" s="711"/>
      <c r="J68" s="711"/>
      <c r="K68" s="711"/>
      <c r="L68" s="712"/>
      <c r="M68" s="167"/>
    </row>
    <row r="69" spans="1:16" x14ac:dyDescent="0.35">
      <c r="B69" s="169"/>
      <c r="C69" s="170"/>
      <c r="D69" s="170"/>
      <c r="E69" s="170"/>
      <c r="F69" s="170"/>
      <c r="G69" s="170"/>
      <c r="H69" s="170"/>
      <c r="I69" s="170"/>
      <c r="J69" s="170"/>
      <c r="K69" s="170"/>
      <c r="L69" s="171"/>
      <c r="M69" s="2"/>
    </row>
    <row r="70" spans="1:16" x14ac:dyDescent="0.35">
      <c r="B70" s="608" t="str">
        <f>IF(Intro!$G$21="English",O70,P70)</f>
        <v>Décrivez comment votre entreprise détermine la valeur des stocks. Fournissez tout changement dans la méthode d'évaluation des stocks ou toute réduction importante de la valeur comptabilisée des stocks depuis le 1er janvier 2023.</v>
      </c>
      <c r="C70" s="609"/>
      <c r="D70" s="609"/>
      <c r="E70" s="609"/>
      <c r="F70" s="609"/>
      <c r="G70" s="609"/>
      <c r="H70" s="609"/>
      <c r="I70" s="609"/>
      <c r="J70" s="609"/>
      <c r="K70" s="609"/>
      <c r="L70" s="610"/>
      <c r="M70" s="2"/>
      <c r="O70" s="2"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70" s="2"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71" spans="1:16" x14ac:dyDescent="0.35">
      <c r="B71" s="608"/>
      <c r="C71" s="609"/>
      <c r="D71" s="609"/>
      <c r="E71" s="609"/>
      <c r="F71" s="609"/>
      <c r="G71" s="609"/>
      <c r="H71" s="609"/>
      <c r="I71" s="609"/>
      <c r="J71" s="609"/>
      <c r="K71" s="609"/>
      <c r="L71" s="610"/>
      <c r="M71" s="2"/>
    </row>
    <row r="72" spans="1:16" x14ac:dyDescent="0.35">
      <c r="B72" s="169"/>
      <c r="C72" s="170"/>
      <c r="D72" s="170"/>
      <c r="E72" s="170"/>
      <c r="F72" s="170"/>
      <c r="G72" s="170"/>
      <c r="H72" s="170"/>
      <c r="I72" s="170"/>
      <c r="J72" s="170"/>
      <c r="K72" s="170"/>
      <c r="L72" s="171"/>
      <c r="M72" s="2"/>
    </row>
    <row r="73" spans="1:16" s="3" customFormat="1" x14ac:dyDescent="0.35">
      <c r="A73" s="12"/>
      <c r="B73" s="704"/>
      <c r="C73" s="705"/>
      <c r="D73" s="705"/>
      <c r="E73" s="705"/>
      <c r="F73" s="705"/>
      <c r="G73" s="705"/>
      <c r="H73" s="705"/>
      <c r="I73" s="705"/>
      <c r="J73" s="705"/>
      <c r="K73" s="705"/>
      <c r="L73" s="706"/>
      <c r="M73" s="152"/>
      <c r="O73" s="154"/>
      <c r="P73" s="154"/>
    </row>
    <row r="74" spans="1:16" s="3" customFormat="1" x14ac:dyDescent="0.35">
      <c r="A74" s="12"/>
      <c r="B74" s="704"/>
      <c r="C74" s="705"/>
      <c r="D74" s="705"/>
      <c r="E74" s="705"/>
      <c r="F74" s="705"/>
      <c r="G74" s="705"/>
      <c r="H74" s="705"/>
      <c r="I74" s="705"/>
      <c r="J74" s="705"/>
      <c r="K74" s="705"/>
      <c r="L74" s="706"/>
      <c r="M74" s="152"/>
      <c r="O74" s="154"/>
      <c r="P74" s="154"/>
    </row>
    <row r="75" spans="1:16" s="3" customFormat="1" x14ac:dyDescent="0.35">
      <c r="A75" s="12"/>
      <c r="B75" s="704"/>
      <c r="C75" s="705"/>
      <c r="D75" s="705"/>
      <c r="E75" s="705"/>
      <c r="F75" s="705"/>
      <c r="G75" s="705"/>
      <c r="H75" s="705"/>
      <c r="I75" s="705"/>
      <c r="J75" s="705"/>
      <c r="K75" s="705"/>
      <c r="L75" s="706"/>
      <c r="M75" s="152"/>
      <c r="O75" s="154"/>
      <c r="P75" s="154"/>
    </row>
    <row r="76" spans="1:16" s="3" customFormat="1" x14ac:dyDescent="0.35">
      <c r="A76" s="12"/>
      <c r="B76" s="704"/>
      <c r="C76" s="705"/>
      <c r="D76" s="705"/>
      <c r="E76" s="705"/>
      <c r="F76" s="705"/>
      <c r="G76" s="705"/>
      <c r="H76" s="705"/>
      <c r="I76" s="705"/>
      <c r="J76" s="705"/>
      <c r="K76" s="705"/>
      <c r="L76" s="706"/>
      <c r="M76" s="152"/>
      <c r="O76" s="154"/>
      <c r="P76" s="154"/>
    </row>
    <row r="77" spans="1:16" s="3" customFormat="1" x14ac:dyDescent="0.35">
      <c r="A77" s="12"/>
      <c r="B77" s="704"/>
      <c r="C77" s="705"/>
      <c r="D77" s="705"/>
      <c r="E77" s="705"/>
      <c r="F77" s="705"/>
      <c r="G77" s="705"/>
      <c r="H77" s="705"/>
      <c r="I77" s="705"/>
      <c r="J77" s="705"/>
      <c r="K77" s="705"/>
      <c r="L77" s="706"/>
      <c r="M77" s="152"/>
      <c r="O77" s="154"/>
      <c r="P77" s="154"/>
    </row>
    <row r="78" spans="1:16" s="3" customFormat="1" x14ac:dyDescent="0.35">
      <c r="A78" s="12"/>
      <c r="B78" s="704"/>
      <c r="C78" s="705"/>
      <c r="D78" s="705"/>
      <c r="E78" s="705"/>
      <c r="F78" s="705"/>
      <c r="G78" s="705"/>
      <c r="H78" s="705"/>
      <c r="I78" s="705"/>
      <c r="J78" s="705"/>
      <c r="K78" s="705"/>
      <c r="L78" s="706"/>
      <c r="M78" s="152"/>
      <c r="O78" s="154"/>
      <c r="P78" s="154"/>
    </row>
    <row r="79" spans="1:16" s="3" customFormat="1" x14ac:dyDescent="0.35">
      <c r="A79" s="12"/>
      <c r="B79" s="704"/>
      <c r="C79" s="705"/>
      <c r="D79" s="705"/>
      <c r="E79" s="705"/>
      <c r="F79" s="705"/>
      <c r="G79" s="705"/>
      <c r="H79" s="705"/>
      <c r="I79" s="705"/>
      <c r="J79" s="705"/>
      <c r="K79" s="705"/>
      <c r="L79" s="706"/>
      <c r="M79" s="152"/>
      <c r="O79" s="154"/>
      <c r="P79" s="154"/>
    </row>
    <row r="80" spans="1:16" s="3" customFormat="1" x14ac:dyDescent="0.35">
      <c r="A80" s="12"/>
      <c r="B80" s="704"/>
      <c r="C80" s="705"/>
      <c r="D80" s="705"/>
      <c r="E80" s="705"/>
      <c r="F80" s="705"/>
      <c r="G80" s="705"/>
      <c r="H80" s="705"/>
      <c r="I80" s="705"/>
      <c r="J80" s="705"/>
      <c r="K80" s="705"/>
      <c r="L80" s="706"/>
      <c r="M80" s="152"/>
      <c r="O80" s="154"/>
      <c r="P80" s="154"/>
    </row>
    <row r="81" spans="1:16" x14ac:dyDescent="0.35">
      <c r="B81" s="175"/>
      <c r="C81" s="176"/>
      <c r="D81" s="176"/>
      <c r="E81" s="176"/>
      <c r="F81" s="176"/>
      <c r="G81" s="176"/>
      <c r="H81" s="176"/>
      <c r="I81" s="176"/>
      <c r="J81" s="176"/>
      <c r="K81" s="176"/>
      <c r="L81" s="177"/>
      <c r="M81" s="2"/>
    </row>
    <row r="82" spans="1:16" s="3" customFormat="1" x14ac:dyDescent="0.35">
      <c r="A82" s="12"/>
      <c r="B82" s="710" t="s">
        <v>27</v>
      </c>
      <c r="C82" s="711"/>
      <c r="D82" s="711"/>
      <c r="E82" s="711"/>
      <c r="F82" s="711"/>
      <c r="G82" s="711"/>
      <c r="H82" s="711"/>
      <c r="I82" s="711"/>
      <c r="J82" s="711"/>
      <c r="K82" s="711"/>
      <c r="L82" s="712"/>
      <c r="M82" s="167"/>
    </row>
    <row r="83" spans="1:16" x14ac:dyDescent="0.35">
      <c r="B83" s="169"/>
      <c r="C83" s="170"/>
      <c r="D83" s="170"/>
      <c r="E83" s="170"/>
      <c r="F83" s="170"/>
      <c r="G83" s="170"/>
      <c r="H83" s="170"/>
      <c r="I83" s="170"/>
      <c r="J83" s="170"/>
      <c r="K83" s="170"/>
      <c r="L83" s="171"/>
      <c r="M83" s="2"/>
    </row>
    <row r="84" spans="1:16" x14ac:dyDescent="0.35">
      <c r="B84" s="608" t="str">
        <f>IF(Intro!$G$21="English",O84,P84)</f>
        <v>Décrivez tout changement dans le volume des stocks des marchandises maintenus par votre entreprise depuis le 1er janvier 2023 et indiquez si ces changements ont eu une incidence quelconque sur la capacité de votre entreprise à fournir ses clients.</v>
      </c>
      <c r="C84" s="609"/>
      <c r="D84" s="609"/>
      <c r="E84" s="609"/>
      <c r="F84" s="609"/>
      <c r="G84" s="609"/>
      <c r="H84" s="609"/>
      <c r="I84" s="609"/>
      <c r="J84" s="609"/>
      <c r="K84" s="609"/>
      <c r="L84" s="610"/>
      <c r="M84" s="2"/>
      <c r="O84" s="2"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4" s="2"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5" spans="1:16" x14ac:dyDescent="0.35">
      <c r="B85" s="608"/>
      <c r="C85" s="609"/>
      <c r="D85" s="609"/>
      <c r="E85" s="609"/>
      <c r="F85" s="609"/>
      <c r="G85" s="609"/>
      <c r="H85" s="609"/>
      <c r="I85" s="609"/>
      <c r="J85" s="609"/>
      <c r="K85" s="609"/>
      <c r="L85" s="610"/>
      <c r="M85" s="2"/>
    </row>
    <row r="86" spans="1:16" x14ac:dyDescent="0.35">
      <c r="B86" s="169"/>
      <c r="C86" s="170"/>
      <c r="D86" s="170"/>
      <c r="E86" s="170"/>
      <c r="F86" s="170"/>
      <c r="G86" s="170"/>
      <c r="H86" s="170"/>
      <c r="I86" s="170"/>
      <c r="J86" s="170"/>
      <c r="K86" s="170"/>
      <c r="L86" s="171"/>
      <c r="M86" s="2"/>
    </row>
    <row r="87" spans="1:16" s="3" customFormat="1" x14ac:dyDescent="0.35">
      <c r="A87" s="12"/>
      <c r="B87" s="704"/>
      <c r="C87" s="705"/>
      <c r="D87" s="705"/>
      <c r="E87" s="705"/>
      <c r="F87" s="705"/>
      <c r="G87" s="705"/>
      <c r="H87" s="705"/>
      <c r="I87" s="705"/>
      <c r="J87" s="705"/>
      <c r="K87" s="705"/>
      <c r="L87" s="706"/>
      <c r="M87" s="152"/>
      <c r="O87" s="154"/>
      <c r="P87" s="154"/>
    </row>
    <row r="88" spans="1:16" s="3" customFormat="1" x14ac:dyDescent="0.35">
      <c r="A88" s="12"/>
      <c r="B88" s="704"/>
      <c r="C88" s="705"/>
      <c r="D88" s="705"/>
      <c r="E88" s="705"/>
      <c r="F88" s="705"/>
      <c r="G88" s="705"/>
      <c r="H88" s="705"/>
      <c r="I88" s="705"/>
      <c r="J88" s="705"/>
      <c r="K88" s="705"/>
      <c r="L88" s="706"/>
      <c r="M88" s="152"/>
      <c r="O88" s="154"/>
      <c r="P88" s="154"/>
    </row>
    <row r="89" spans="1:16" s="3" customFormat="1" x14ac:dyDescent="0.35">
      <c r="A89" s="12"/>
      <c r="B89" s="704"/>
      <c r="C89" s="705"/>
      <c r="D89" s="705"/>
      <c r="E89" s="705"/>
      <c r="F89" s="705"/>
      <c r="G89" s="705"/>
      <c r="H89" s="705"/>
      <c r="I89" s="705"/>
      <c r="J89" s="705"/>
      <c r="K89" s="705"/>
      <c r="L89" s="706"/>
      <c r="M89" s="152"/>
      <c r="O89" s="154"/>
      <c r="P89" s="154"/>
    </row>
    <row r="90" spans="1:16" s="3" customFormat="1" x14ac:dyDescent="0.35">
      <c r="A90" s="12"/>
      <c r="B90" s="704"/>
      <c r="C90" s="705"/>
      <c r="D90" s="705"/>
      <c r="E90" s="705"/>
      <c r="F90" s="705"/>
      <c r="G90" s="705"/>
      <c r="H90" s="705"/>
      <c r="I90" s="705"/>
      <c r="J90" s="705"/>
      <c r="K90" s="705"/>
      <c r="L90" s="706"/>
      <c r="M90" s="152"/>
      <c r="O90" s="154"/>
      <c r="P90" s="154"/>
    </row>
    <row r="91" spans="1:16" s="3" customFormat="1" x14ac:dyDescent="0.35">
      <c r="A91" s="12"/>
      <c r="B91" s="704"/>
      <c r="C91" s="705"/>
      <c r="D91" s="705"/>
      <c r="E91" s="705"/>
      <c r="F91" s="705"/>
      <c r="G91" s="705"/>
      <c r="H91" s="705"/>
      <c r="I91" s="705"/>
      <c r="J91" s="705"/>
      <c r="K91" s="705"/>
      <c r="L91" s="706"/>
      <c r="M91" s="152"/>
      <c r="O91" s="154"/>
      <c r="P91" s="154"/>
    </row>
    <row r="92" spans="1:16" s="3" customFormat="1" x14ac:dyDescent="0.35">
      <c r="A92" s="12"/>
      <c r="B92" s="704"/>
      <c r="C92" s="705"/>
      <c r="D92" s="705"/>
      <c r="E92" s="705"/>
      <c r="F92" s="705"/>
      <c r="G92" s="705"/>
      <c r="H92" s="705"/>
      <c r="I92" s="705"/>
      <c r="J92" s="705"/>
      <c r="K92" s="705"/>
      <c r="L92" s="706"/>
      <c r="M92" s="152"/>
      <c r="O92" s="154"/>
      <c r="P92" s="154"/>
    </row>
    <row r="93" spans="1:16" s="3" customFormat="1" x14ac:dyDescent="0.35">
      <c r="A93" s="12"/>
      <c r="B93" s="704"/>
      <c r="C93" s="705"/>
      <c r="D93" s="705"/>
      <c r="E93" s="705"/>
      <c r="F93" s="705"/>
      <c r="G93" s="705"/>
      <c r="H93" s="705"/>
      <c r="I93" s="705"/>
      <c r="J93" s="705"/>
      <c r="K93" s="705"/>
      <c r="L93" s="706"/>
      <c r="M93" s="152"/>
      <c r="O93" s="154"/>
      <c r="P93" s="154"/>
    </row>
    <row r="94" spans="1:16" s="3" customFormat="1" x14ac:dyDescent="0.35">
      <c r="A94" s="12"/>
      <c r="B94" s="704"/>
      <c r="C94" s="705"/>
      <c r="D94" s="705"/>
      <c r="E94" s="705"/>
      <c r="F94" s="705"/>
      <c r="G94" s="705"/>
      <c r="H94" s="705"/>
      <c r="I94" s="705"/>
      <c r="J94" s="705"/>
      <c r="K94" s="705"/>
      <c r="L94" s="706"/>
      <c r="M94" s="152"/>
      <c r="O94" s="154"/>
      <c r="P94" s="154"/>
    </row>
    <row r="95" spans="1:16" x14ac:dyDescent="0.35">
      <c r="B95" s="175"/>
      <c r="C95" s="176"/>
      <c r="D95" s="176"/>
      <c r="E95" s="176"/>
      <c r="F95" s="176"/>
      <c r="G95" s="176"/>
      <c r="H95" s="176"/>
      <c r="I95" s="176"/>
      <c r="J95" s="176"/>
      <c r="K95" s="176"/>
      <c r="L95" s="177"/>
      <c r="M95" s="2"/>
    </row>
    <row r="96" spans="1:16" s="3" customFormat="1" x14ac:dyDescent="0.35">
      <c r="A96" s="12"/>
      <c r="B96" s="710" t="s">
        <v>28</v>
      </c>
      <c r="C96" s="711"/>
      <c r="D96" s="711"/>
      <c r="E96" s="711"/>
      <c r="F96" s="711"/>
      <c r="G96" s="711"/>
      <c r="H96" s="711"/>
      <c r="I96" s="711"/>
      <c r="J96" s="711"/>
      <c r="K96" s="711"/>
      <c r="L96" s="712"/>
      <c r="M96" s="167"/>
    </row>
    <row r="97" spans="1:16" x14ac:dyDescent="0.35">
      <c r="B97" s="169"/>
      <c r="C97" s="170"/>
      <c r="D97" s="170"/>
      <c r="E97" s="170"/>
      <c r="F97" s="170"/>
      <c r="G97" s="170"/>
      <c r="H97" s="170"/>
      <c r="I97" s="170"/>
      <c r="J97" s="170"/>
      <c r="K97" s="170"/>
      <c r="L97" s="171"/>
      <c r="M97" s="2"/>
    </row>
    <row r="98" spans="1:16" x14ac:dyDescent="0.35">
      <c r="B98" s="608" t="str">
        <f>IF(Intro!$G$21="English",O98,P98)</f>
        <v>Décrivez les plans de votre entreprise pour gérer les niveaux de stocks au cours des deux prochaines années. Fournissez les motifs et les hypothèses sous-tendant ces objectifs et ces stratégies.</v>
      </c>
      <c r="C98" s="609"/>
      <c r="D98" s="609"/>
      <c r="E98" s="609"/>
      <c r="F98" s="609"/>
      <c r="G98" s="609"/>
      <c r="H98" s="609"/>
      <c r="I98" s="609"/>
      <c r="J98" s="609"/>
      <c r="K98" s="609"/>
      <c r="L98" s="610"/>
      <c r="M98" s="2"/>
      <c r="O98" s="2" t="s">
        <v>412</v>
      </c>
      <c r="P98" s="2" t="s">
        <v>196</v>
      </c>
    </row>
    <row r="99" spans="1:16" x14ac:dyDescent="0.35">
      <c r="B99" s="169"/>
      <c r="C99" s="170"/>
      <c r="D99" s="170"/>
      <c r="E99" s="170"/>
      <c r="F99" s="170"/>
      <c r="G99" s="170"/>
      <c r="H99" s="170"/>
      <c r="I99" s="170"/>
      <c r="J99" s="170"/>
      <c r="K99" s="170"/>
      <c r="L99" s="171"/>
      <c r="M99" s="2"/>
    </row>
    <row r="100" spans="1:16" s="3" customFormat="1" x14ac:dyDescent="0.35">
      <c r="A100" s="12"/>
      <c r="B100" s="704"/>
      <c r="C100" s="705"/>
      <c r="D100" s="705"/>
      <c r="E100" s="705"/>
      <c r="F100" s="705"/>
      <c r="G100" s="705"/>
      <c r="H100" s="705"/>
      <c r="I100" s="705"/>
      <c r="J100" s="705"/>
      <c r="K100" s="705"/>
      <c r="L100" s="706"/>
      <c r="M100" s="152"/>
      <c r="O100" s="154"/>
      <c r="P100" s="154"/>
    </row>
    <row r="101" spans="1:16" s="3" customFormat="1" x14ac:dyDescent="0.35">
      <c r="A101" s="12"/>
      <c r="B101" s="704"/>
      <c r="C101" s="705"/>
      <c r="D101" s="705"/>
      <c r="E101" s="705"/>
      <c r="F101" s="705"/>
      <c r="G101" s="705"/>
      <c r="H101" s="705"/>
      <c r="I101" s="705"/>
      <c r="J101" s="705"/>
      <c r="K101" s="705"/>
      <c r="L101" s="706"/>
      <c r="M101" s="152"/>
      <c r="O101" s="154"/>
      <c r="P101" s="154"/>
    </row>
    <row r="102" spans="1:16" s="3" customFormat="1" x14ac:dyDescent="0.35">
      <c r="A102" s="12"/>
      <c r="B102" s="704"/>
      <c r="C102" s="705"/>
      <c r="D102" s="705"/>
      <c r="E102" s="705"/>
      <c r="F102" s="705"/>
      <c r="G102" s="705"/>
      <c r="H102" s="705"/>
      <c r="I102" s="705"/>
      <c r="J102" s="705"/>
      <c r="K102" s="705"/>
      <c r="L102" s="706"/>
      <c r="M102" s="152"/>
      <c r="O102" s="154"/>
      <c r="P102" s="154"/>
    </row>
    <row r="103" spans="1:16" s="3" customFormat="1" x14ac:dyDescent="0.35">
      <c r="A103" s="12"/>
      <c r="B103" s="704"/>
      <c r="C103" s="705"/>
      <c r="D103" s="705"/>
      <c r="E103" s="705"/>
      <c r="F103" s="705"/>
      <c r="G103" s="705"/>
      <c r="H103" s="705"/>
      <c r="I103" s="705"/>
      <c r="J103" s="705"/>
      <c r="K103" s="705"/>
      <c r="L103" s="706"/>
      <c r="M103" s="152"/>
      <c r="O103" s="154"/>
      <c r="P103" s="154"/>
    </row>
    <row r="104" spans="1:16" s="3" customFormat="1" x14ac:dyDescent="0.35">
      <c r="A104" s="12"/>
      <c r="B104" s="704"/>
      <c r="C104" s="705"/>
      <c r="D104" s="705"/>
      <c r="E104" s="705"/>
      <c r="F104" s="705"/>
      <c r="G104" s="705"/>
      <c r="H104" s="705"/>
      <c r="I104" s="705"/>
      <c r="J104" s="705"/>
      <c r="K104" s="705"/>
      <c r="L104" s="706"/>
      <c r="M104" s="152"/>
      <c r="O104" s="154"/>
      <c r="P104" s="154"/>
    </row>
    <row r="105" spans="1:16" s="3" customFormat="1" x14ac:dyDescent="0.35">
      <c r="A105" s="12"/>
      <c r="B105" s="704"/>
      <c r="C105" s="705"/>
      <c r="D105" s="705"/>
      <c r="E105" s="705"/>
      <c r="F105" s="705"/>
      <c r="G105" s="705"/>
      <c r="H105" s="705"/>
      <c r="I105" s="705"/>
      <c r="J105" s="705"/>
      <c r="K105" s="705"/>
      <c r="L105" s="706"/>
      <c r="M105" s="152"/>
      <c r="O105" s="154"/>
      <c r="P105" s="154"/>
    </row>
    <row r="106" spans="1:16" s="3" customFormat="1" x14ac:dyDescent="0.35">
      <c r="A106" s="12"/>
      <c r="B106" s="704"/>
      <c r="C106" s="705"/>
      <c r="D106" s="705"/>
      <c r="E106" s="705"/>
      <c r="F106" s="705"/>
      <c r="G106" s="705"/>
      <c r="H106" s="705"/>
      <c r="I106" s="705"/>
      <c r="J106" s="705"/>
      <c r="K106" s="705"/>
      <c r="L106" s="706"/>
      <c r="M106" s="152"/>
      <c r="O106" s="154"/>
      <c r="P106" s="154"/>
    </row>
    <row r="107" spans="1:16" s="3" customFormat="1" x14ac:dyDescent="0.35">
      <c r="A107" s="12"/>
      <c r="B107" s="704"/>
      <c r="C107" s="705"/>
      <c r="D107" s="705"/>
      <c r="E107" s="705"/>
      <c r="F107" s="705"/>
      <c r="G107" s="705"/>
      <c r="H107" s="705"/>
      <c r="I107" s="705"/>
      <c r="J107" s="705"/>
      <c r="K107" s="705"/>
      <c r="L107" s="706"/>
      <c r="M107" s="152"/>
      <c r="O107" s="154"/>
      <c r="P107" s="154"/>
    </row>
    <row r="108" spans="1:16" x14ac:dyDescent="0.35">
      <c r="B108" s="175"/>
      <c r="C108" s="176"/>
      <c r="D108" s="176"/>
      <c r="E108" s="176"/>
      <c r="F108" s="176"/>
      <c r="G108" s="176"/>
      <c r="H108" s="176"/>
      <c r="I108" s="176"/>
      <c r="J108" s="176"/>
      <c r="K108" s="176"/>
      <c r="L108" s="177"/>
      <c r="M108" s="2"/>
    </row>
    <row r="109" spans="1:16" s="3" customFormat="1" x14ac:dyDescent="0.35">
      <c r="A109" s="12"/>
      <c r="B109" s="710" t="s">
        <v>30</v>
      </c>
      <c r="C109" s="711"/>
      <c r="D109" s="711"/>
      <c r="E109" s="711"/>
      <c r="F109" s="711"/>
      <c r="G109" s="711"/>
      <c r="H109" s="711"/>
      <c r="I109" s="711"/>
      <c r="J109" s="711"/>
      <c r="K109" s="711"/>
      <c r="L109" s="712"/>
      <c r="M109" s="167"/>
    </row>
    <row r="110" spans="1:16" x14ac:dyDescent="0.35">
      <c r="B110" s="169"/>
      <c r="C110" s="170"/>
      <c r="D110" s="170"/>
      <c r="E110" s="170"/>
      <c r="F110" s="170"/>
      <c r="G110" s="170"/>
      <c r="H110" s="170"/>
      <c r="I110" s="170"/>
      <c r="J110" s="170"/>
      <c r="K110" s="170"/>
      <c r="L110" s="171"/>
      <c r="M110" s="2"/>
    </row>
    <row r="111" spans="1:16" x14ac:dyDescent="0.35">
      <c r="B111" s="602" t="str">
        <f>IF(Intro!$G$21="English",O111,P111)</f>
        <v>Décrivez la méthode utilisée pour déterminer la valeur des ventes de votre entreprise à ses entreprises associées au Canada et/ou à l’étranger.</v>
      </c>
      <c r="C111" s="603"/>
      <c r="D111" s="603"/>
      <c r="E111" s="603"/>
      <c r="F111" s="603"/>
      <c r="G111" s="603"/>
      <c r="H111" s="603"/>
      <c r="I111" s="603"/>
      <c r="J111" s="603"/>
      <c r="K111" s="603"/>
      <c r="L111" s="604"/>
      <c r="M111" s="2"/>
      <c r="O111" s="2" t="s">
        <v>152</v>
      </c>
      <c r="P111" s="17" t="s">
        <v>153</v>
      </c>
    </row>
    <row r="112" spans="1:16" x14ac:dyDescent="0.35">
      <c r="B112" s="169"/>
      <c r="C112" s="170"/>
      <c r="D112" s="170"/>
      <c r="E112" s="170"/>
      <c r="F112" s="170"/>
      <c r="G112" s="170"/>
      <c r="H112" s="170"/>
      <c r="I112" s="170"/>
      <c r="J112" s="170"/>
      <c r="K112" s="170"/>
      <c r="L112" s="171"/>
      <c r="M112" s="2"/>
    </row>
    <row r="113" spans="1:19" s="3" customFormat="1" x14ac:dyDescent="0.35">
      <c r="A113" s="12"/>
      <c r="B113" s="704"/>
      <c r="C113" s="705"/>
      <c r="D113" s="705"/>
      <c r="E113" s="705"/>
      <c r="F113" s="705"/>
      <c r="G113" s="705"/>
      <c r="H113" s="705"/>
      <c r="I113" s="705"/>
      <c r="J113" s="705"/>
      <c r="K113" s="705"/>
      <c r="L113" s="706"/>
      <c r="M113" s="152"/>
      <c r="O113" s="154"/>
      <c r="P113" s="154"/>
    </row>
    <row r="114" spans="1:19" s="3" customFormat="1" x14ac:dyDescent="0.35">
      <c r="A114" s="12"/>
      <c r="B114" s="704"/>
      <c r="C114" s="705"/>
      <c r="D114" s="705"/>
      <c r="E114" s="705"/>
      <c r="F114" s="705"/>
      <c r="G114" s="705"/>
      <c r="H114" s="705"/>
      <c r="I114" s="705"/>
      <c r="J114" s="705"/>
      <c r="K114" s="705"/>
      <c r="L114" s="706"/>
      <c r="M114" s="152"/>
      <c r="O114" s="154"/>
      <c r="P114" s="154"/>
    </row>
    <row r="115" spans="1:19" s="3" customFormat="1" x14ac:dyDescent="0.35">
      <c r="A115" s="12"/>
      <c r="B115" s="704"/>
      <c r="C115" s="705"/>
      <c r="D115" s="705"/>
      <c r="E115" s="705"/>
      <c r="F115" s="705"/>
      <c r="G115" s="705"/>
      <c r="H115" s="705"/>
      <c r="I115" s="705"/>
      <c r="J115" s="705"/>
      <c r="K115" s="705"/>
      <c r="L115" s="706"/>
      <c r="M115" s="152"/>
      <c r="O115" s="154"/>
      <c r="P115" s="154"/>
    </row>
    <row r="116" spans="1:19" s="3" customFormat="1" x14ac:dyDescent="0.35">
      <c r="A116" s="12"/>
      <c r="B116" s="704"/>
      <c r="C116" s="705"/>
      <c r="D116" s="705"/>
      <c r="E116" s="705"/>
      <c r="F116" s="705"/>
      <c r="G116" s="705"/>
      <c r="H116" s="705"/>
      <c r="I116" s="705"/>
      <c r="J116" s="705"/>
      <c r="K116" s="705"/>
      <c r="L116" s="706"/>
      <c r="M116" s="152"/>
      <c r="O116" s="154"/>
      <c r="P116" s="154"/>
    </row>
    <row r="117" spans="1:19" s="3" customFormat="1" x14ac:dyDescent="0.35">
      <c r="A117" s="12"/>
      <c r="B117" s="704"/>
      <c r="C117" s="705"/>
      <c r="D117" s="705"/>
      <c r="E117" s="705"/>
      <c r="F117" s="705"/>
      <c r="G117" s="705"/>
      <c r="H117" s="705"/>
      <c r="I117" s="705"/>
      <c r="J117" s="705"/>
      <c r="K117" s="705"/>
      <c r="L117" s="706"/>
      <c r="M117" s="152"/>
      <c r="O117" s="154"/>
      <c r="P117" s="154"/>
    </row>
    <row r="118" spans="1:19" s="3" customFormat="1" x14ac:dyDescent="0.35">
      <c r="A118" s="12"/>
      <c r="B118" s="704"/>
      <c r="C118" s="705"/>
      <c r="D118" s="705"/>
      <c r="E118" s="705"/>
      <c r="F118" s="705"/>
      <c r="G118" s="705"/>
      <c r="H118" s="705"/>
      <c r="I118" s="705"/>
      <c r="J118" s="705"/>
      <c r="K118" s="705"/>
      <c r="L118" s="706"/>
      <c r="M118" s="152"/>
      <c r="O118" s="154"/>
      <c r="P118" s="154"/>
    </row>
    <row r="119" spans="1:19" s="3" customFormat="1" x14ac:dyDescent="0.35">
      <c r="A119" s="12"/>
      <c r="B119" s="704"/>
      <c r="C119" s="705"/>
      <c r="D119" s="705"/>
      <c r="E119" s="705"/>
      <c r="F119" s="705"/>
      <c r="G119" s="705"/>
      <c r="H119" s="705"/>
      <c r="I119" s="705"/>
      <c r="J119" s="705"/>
      <c r="K119" s="705"/>
      <c r="L119" s="706"/>
      <c r="M119" s="152"/>
      <c r="O119" s="154"/>
      <c r="P119" s="154"/>
    </row>
    <row r="120" spans="1:19" s="3" customFormat="1" x14ac:dyDescent="0.35">
      <c r="A120" s="12"/>
      <c r="B120" s="704"/>
      <c r="C120" s="705"/>
      <c r="D120" s="705"/>
      <c r="E120" s="705"/>
      <c r="F120" s="705"/>
      <c r="G120" s="705"/>
      <c r="H120" s="705"/>
      <c r="I120" s="705"/>
      <c r="J120" s="705"/>
      <c r="K120" s="705"/>
      <c r="L120" s="706"/>
      <c r="M120" s="152"/>
      <c r="O120" s="154"/>
      <c r="P120" s="154"/>
    </row>
    <row r="121" spans="1:19" x14ac:dyDescent="0.35">
      <c r="B121" s="175"/>
      <c r="C121" s="176"/>
      <c r="D121" s="176"/>
      <c r="E121" s="176"/>
      <c r="F121" s="176"/>
      <c r="G121" s="176"/>
      <c r="H121" s="176"/>
      <c r="I121" s="176"/>
      <c r="J121" s="176"/>
      <c r="K121" s="176"/>
      <c r="L121" s="177"/>
      <c r="M121" s="2"/>
    </row>
    <row r="122" spans="1:19" s="3" customFormat="1" x14ac:dyDescent="0.35">
      <c r="A122" s="12"/>
      <c r="B122" s="710" t="s">
        <v>31</v>
      </c>
      <c r="C122" s="711"/>
      <c r="D122" s="711"/>
      <c r="E122" s="711"/>
      <c r="F122" s="711"/>
      <c r="G122" s="711"/>
      <c r="H122" s="711"/>
      <c r="I122" s="711"/>
      <c r="J122" s="711"/>
      <c r="K122" s="711"/>
      <c r="L122" s="712"/>
      <c r="M122" s="167"/>
    </row>
    <row r="123" spans="1:19" x14ac:dyDescent="0.35">
      <c r="B123" s="169"/>
      <c r="C123" s="170"/>
      <c r="D123" s="170"/>
      <c r="E123" s="170"/>
      <c r="F123" s="170"/>
      <c r="G123" s="170"/>
      <c r="H123" s="170"/>
      <c r="I123" s="170"/>
      <c r="J123" s="170"/>
      <c r="K123" s="170"/>
      <c r="L123" s="171"/>
      <c r="M123" s="2"/>
    </row>
    <row r="124" spans="1:19" x14ac:dyDescent="0.35">
      <c r="B124" s="602" t="str">
        <f>IF(Intro!$G$21="English",O124,P124)</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C124" s="603"/>
      <c r="D124" s="603"/>
      <c r="E124" s="603"/>
      <c r="F124" s="603"/>
      <c r="G124" s="603"/>
      <c r="H124" s="603"/>
      <c r="I124" s="603"/>
      <c r="J124" s="603"/>
      <c r="K124" s="603"/>
      <c r="L124" s="604"/>
      <c r="M124" s="2"/>
      <c r="O124" s="2"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124" s="2" t="str">
        <f>"Expliquez la façon dont votre entreprise calcule les prix des marchandises pour ses clients. Donnez les détails au sujet des modalités, rabais, réductions, remises, primes, ajustements de prix et autres mesures offerts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Q124" s="152"/>
      <c r="R124" s="152"/>
      <c r="S124" s="152"/>
    </row>
    <row r="125" spans="1:19" x14ac:dyDescent="0.35">
      <c r="B125" s="602"/>
      <c r="C125" s="603"/>
      <c r="D125" s="603"/>
      <c r="E125" s="603"/>
      <c r="F125" s="603"/>
      <c r="G125" s="603"/>
      <c r="H125" s="603"/>
      <c r="I125" s="603"/>
      <c r="J125" s="603"/>
      <c r="K125" s="603"/>
      <c r="L125" s="604"/>
      <c r="M125" s="2"/>
      <c r="Q125" s="152"/>
      <c r="R125" s="152"/>
      <c r="S125" s="152"/>
    </row>
    <row r="126" spans="1:19" x14ac:dyDescent="0.35">
      <c r="B126" s="602"/>
      <c r="C126" s="603"/>
      <c r="D126" s="603"/>
      <c r="E126" s="603"/>
      <c r="F126" s="603"/>
      <c r="G126" s="603"/>
      <c r="H126" s="603"/>
      <c r="I126" s="603"/>
      <c r="J126" s="603"/>
      <c r="K126" s="603"/>
      <c r="L126" s="604"/>
      <c r="M126" s="2"/>
      <c r="Q126" s="152"/>
      <c r="R126" s="152"/>
      <c r="S126" s="152"/>
    </row>
    <row r="127" spans="1:19" x14ac:dyDescent="0.35">
      <c r="B127" s="169"/>
      <c r="C127" s="170"/>
      <c r="D127" s="170"/>
      <c r="E127" s="170"/>
      <c r="F127" s="170"/>
      <c r="G127" s="170"/>
      <c r="H127" s="170"/>
      <c r="I127" s="170"/>
      <c r="J127" s="170"/>
      <c r="K127" s="170"/>
      <c r="L127" s="171"/>
      <c r="M127" s="2"/>
    </row>
    <row r="128" spans="1:19" s="3" customFormat="1" x14ac:dyDescent="0.35">
      <c r="A128" s="12"/>
      <c r="B128" s="704"/>
      <c r="C128" s="705"/>
      <c r="D128" s="705"/>
      <c r="E128" s="705"/>
      <c r="F128" s="705"/>
      <c r="G128" s="705"/>
      <c r="H128" s="705"/>
      <c r="I128" s="705"/>
      <c r="J128" s="705"/>
      <c r="K128" s="705"/>
      <c r="L128" s="706"/>
      <c r="M128" s="152"/>
      <c r="O128" s="154"/>
      <c r="P128" s="154"/>
    </row>
    <row r="129" spans="1:16" s="3" customFormat="1" x14ac:dyDescent="0.35">
      <c r="A129" s="12"/>
      <c r="B129" s="704"/>
      <c r="C129" s="705"/>
      <c r="D129" s="705"/>
      <c r="E129" s="705"/>
      <c r="F129" s="705"/>
      <c r="G129" s="705"/>
      <c r="H129" s="705"/>
      <c r="I129" s="705"/>
      <c r="J129" s="705"/>
      <c r="K129" s="705"/>
      <c r="L129" s="706"/>
      <c r="M129" s="152"/>
      <c r="O129" s="154"/>
      <c r="P129" s="154"/>
    </row>
    <row r="130" spans="1:16" s="3" customFormat="1" x14ac:dyDescent="0.35">
      <c r="A130" s="12"/>
      <c r="B130" s="704"/>
      <c r="C130" s="705"/>
      <c r="D130" s="705"/>
      <c r="E130" s="705"/>
      <c r="F130" s="705"/>
      <c r="G130" s="705"/>
      <c r="H130" s="705"/>
      <c r="I130" s="705"/>
      <c r="J130" s="705"/>
      <c r="K130" s="705"/>
      <c r="L130" s="706"/>
      <c r="M130" s="152"/>
      <c r="O130" s="154"/>
      <c r="P130" s="154"/>
    </row>
    <row r="131" spans="1:16" s="3" customFormat="1" x14ac:dyDescent="0.35">
      <c r="A131" s="12"/>
      <c r="B131" s="704"/>
      <c r="C131" s="705"/>
      <c r="D131" s="705"/>
      <c r="E131" s="705"/>
      <c r="F131" s="705"/>
      <c r="G131" s="705"/>
      <c r="H131" s="705"/>
      <c r="I131" s="705"/>
      <c r="J131" s="705"/>
      <c r="K131" s="705"/>
      <c r="L131" s="706"/>
      <c r="M131" s="152"/>
      <c r="O131" s="154"/>
      <c r="P131" s="154"/>
    </row>
    <row r="132" spans="1:16" s="3" customFormat="1" x14ac:dyDescent="0.35">
      <c r="A132" s="12"/>
      <c r="B132" s="704"/>
      <c r="C132" s="705"/>
      <c r="D132" s="705"/>
      <c r="E132" s="705"/>
      <c r="F132" s="705"/>
      <c r="G132" s="705"/>
      <c r="H132" s="705"/>
      <c r="I132" s="705"/>
      <c r="J132" s="705"/>
      <c r="K132" s="705"/>
      <c r="L132" s="706"/>
      <c r="M132" s="152"/>
      <c r="O132" s="154"/>
      <c r="P132" s="154"/>
    </row>
    <row r="133" spans="1:16" s="3" customFormat="1" x14ac:dyDescent="0.35">
      <c r="A133" s="12"/>
      <c r="B133" s="704"/>
      <c r="C133" s="705"/>
      <c r="D133" s="705"/>
      <c r="E133" s="705"/>
      <c r="F133" s="705"/>
      <c r="G133" s="705"/>
      <c r="H133" s="705"/>
      <c r="I133" s="705"/>
      <c r="J133" s="705"/>
      <c r="K133" s="705"/>
      <c r="L133" s="706"/>
      <c r="M133" s="152"/>
      <c r="O133" s="154"/>
      <c r="P133" s="154"/>
    </row>
    <row r="134" spans="1:16" s="3" customFormat="1" x14ac:dyDescent="0.35">
      <c r="A134" s="12"/>
      <c r="B134" s="704"/>
      <c r="C134" s="705"/>
      <c r="D134" s="705"/>
      <c r="E134" s="705"/>
      <c r="F134" s="705"/>
      <c r="G134" s="705"/>
      <c r="H134" s="705"/>
      <c r="I134" s="705"/>
      <c r="J134" s="705"/>
      <c r="K134" s="705"/>
      <c r="L134" s="706"/>
      <c r="M134" s="152"/>
      <c r="O134" s="154"/>
      <c r="P134" s="154"/>
    </row>
    <row r="135" spans="1:16" s="3" customFormat="1" x14ac:dyDescent="0.35">
      <c r="A135" s="12"/>
      <c r="B135" s="704"/>
      <c r="C135" s="705"/>
      <c r="D135" s="705"/>
      <c r="E135" s="705"/>
      <c r="F135" s="705"/>
      <c r="G135" s="705"/>
      <c r="H135" s="705"/>
      <c r="I135" s="705"/>
      <c r="J135" s="705"/>
      <c r="K135" s="705"/>
      <c r="L135" s="706"/>
      <c r="M135" s="152"/>
      <c r="O135" s="154"/>
      <c r="P135" s="154"/>
    </row>
    <row r="136" spans="1:16" x14ac:dyDescent="0.35">
      <c r="B136" s="175"/>
      <c r="C136" s="176"/>
      <c r="D136" s="176"/>
      <c r="E136" s="176"/>
      <c r="F136" s="176"/>
      <c r="G136" s="176"/>
      <c r="H136" s="176"/>
      <c r="I136" s="176"/>
      <c r="J136" s="176"/>
      <c r="K136" s="176"/>
      <c r="L136" s="177"/>
      <c r="M136" s="2"/>
    </row>
    <row r="137" spans="1:16" s="3" customFormat="1" x14ac:dyDescent="0.35">
      <c r="A137" s="12"/>
      <c r="B137" s="710" t="s">
        <v>33</v>
      </c>
      <c r="C137" s="711"/>
      <c r="D137" s="711"/>
      <c r="E137" s="711"/>
      <c r="F137" s="711"/>
      <c r="G137" s="711"/>
      <c r="H137" s="711"/>
      <c r="I137" s="711"/>
      <c r="J137" s="711"/>
      <c r="K137" s="711"/>
      <c r="L137" s="712"/>
      <c r="M137" s="167"/>
    </row>
    <row r="138" spans="1:16" x14ac:dyDescent="0.35">
      <c r="B138" s="169"/>
      <c r="C138" s="170"/>
      <c r="D138" s="170"/>
      <c r="E138" s="170"/>
      <c r="F138" s="170"/>
      <c r="G138" s="170"/>
      <c r="H138" s="170"/>
      <c r="I138" s="170"/>
      <c r="J138" s="170"/>
      <c r="K138" s="170"/>
      <c r="L138" s="171"/>
      <c r="M138" s="2"/>
      <c r="P138" s="1"/>
    </row>
    <row r="139" spans="1:16" x14ac:dyDescent="0.35">
      <c r="B139" s="707" t="str">
        <f>IF(Intro!$G$21="English",O139,P139)</f>
        <v xml:space="preserve">Parmi vos ventes nettes livrées totales au Canada (déclarées à la question 1), quel pourcentage représentait les frais de livraison? </v>
      </c>
      <c r="C139" s="708"/>
      <c r="D139" s="708"/>
      <c r="E139" s="708"/>
      <c r="F139" s="708"/>
      <c r="G139" s="708"/>
      <c r="H139" s="708"/>
      <c r="I139" s="708"/>
      <c r="J139" s="708"/>
      <c r="K139" s="708"/>
      <c r="L139" s="709"/>
      <c r="M139" s="2"/>
      <c r="O139" s="2" t="s">
        <v>809</v>
      </c>
      <c r="P139" s="1" t="s">
        <v>810</v>
      </c>
    </row>
    <row r="140" spans="1:16" x14ac:dyDescent="0.35">
      <c r="B140" s="169"/>
      <c r="C140" s="170"/>
      <c r="D140" s="170"/>
      <c r="E140" s="170"/>
      <c r="F140" s="170"/>
      <c r="G140" s="170"/>
      <c r="H140" s="170"/>
      <c r="I140" s="170"/>
      <c r="J140" s="170"/>
      <c r="K140" s="170"/>
      <c r="L140" s="171"/>
      <c r="M140" s="2"/>
    </row>
    <row r="141" spans="1:16" x14ac:dyDescent="0.35">
      <c r="B141" s="259"/>
      <c r="C141" s="2"/>
      <c r="D141" s="160"/>
      <c r="E141" s="160"/>
      <c r="F141" s="148"/>
      <c r="G141" s="835">
        <f>Variables!$B$6</f>
        <v>2023</v>
      </c>
      <c r="H141" s="835">
        <f>G141+1</f>
        <v>2024</v>
      </c>
      <c r="I141" s="835">
        <f>H141+1</f>
        <v>2025</v>
      </c>
      <c r="J141" s="835" t="str">
        <f>J48</f>
        <v>janv.-mars 2025</v>
      </c>
      <c r="K141" s="835" t="str">
        <f>K48</f>
        <v>janv.-mars 2026</v>
      </c>
      <c r="L141" s="178"/>
      <c r="M141" s="2"/>
      <c r="O141" s="11"/>
    </row>
    <row r="142" spans="1:16" x14ac:dyDescent="0.35">
      <c r="B142" s="259"/>
      <c r="C142" s="2"/>
      <c r="D142" s="160"/>
      <c r="E142" s="160"/>
      <c r="F142" s="148"/>
      <c r="G142" s="836"/>
      <c r="H142" s="836"/>
      <c r="I142" s="836"/>
      <c r="J142" s="836"/>
      <c r="K142" s="836"/>
      <c r="L142" s="178"/>
      <c r="M142" s="2"/>
      <c r="O142" s="11"/>
    </row>
    <row r="143" spans="1:16" x14ac:dyDescent="0.35">
      <c r="B143" s="259"/>
      <c r="C143" s="2"/>
      <c r="D143" s="733" t="str">
        <f>IF(Intro!$G$21="English",O143,P143)</f>
        <v>Coût de livraison</v>
      </c>
      <c r="E143" s="733"/>
      <c r="F143" s="213" t="s">
        <v>186</v>
      </c>
      <c r="G143" s="249"/>
      <c r="H143" s="249"/>
      <c r="I143" s="249"/>
      <c r="J143" s="249"/>
      <c r="K143" s="249"/>
      <c r="L143" s="178"/>
      <c r="M143" s="2"/>
      <c r="O143" s="2" t="s">
        <v>194</v>
      </c>
      <c r="P143" s="2" t="s">
        <v>195</v>
      </c>
    </row>
    <row r="144" spans="1:16" x14ac:dyDescent="0.35">
      <c r="B144" s="169"/>
      <c r="C144" s="170"/>
      <c r="D144" s="170"/>
      <c r="E144" s="170"/>
      <c r="F144" s="170"/>
      <c r="G144" s="170"/>
      <c r="H144" s="170"/>
      <c r="I144" s="170"/>
      <c r="J144" s="170"/>
      <c r="K144" s="170"/>
      <c r="L144" s="171"/>
      <c r="M144" s="2"/>
    </row>
    <row r="145" spans="1:16" x14ac:dyDescent="0.35">
      <c r="B145" s="707" t="str">
        <f>IF(Intro!$G$21="English",O145,P145)</f>
        <v>Expliquez pourquoi la proportion de la valeur de vos ventes intérieures représentée par les frais de livraison a changé depuis le 1er janvier 2023.</v>
      </c>
      <c r="C145" s="708"/>
      <c r="D145" s="708"/>
      <c r="E145" s="708"/>
      <c r="F145" s="708"/>
      <c r="G145" s="708"/>
      <c r="H145" s="708"/>
      <c r="I145" s="708"/>
      <c r="J145" s="708"/>
      <c r="K145" s="708"/>
      <c r="L145" s="709"/>
      <c r="M145" s="2"/>
      <c r="O145" s="2" t="str">
        <f>"Explain why the proportion of your domestic sales value represented by delivery costs has changed since January 1, "&amp;Variables!B6&amp;"."</f>
        <v>Explain why the proportion of your domestic sales value represented by delivery costs has changed since January 1, 2023.</v>
      </c>
      <c r="P145" s="2" t="str">
        <f>"Expliquez pourquoi la proportion de la valeur de vos ventes intérieures représentée par les frais de livraison a changé depuis le 1er janvier "&amp;Variables!B6&amp;"."</f>
        <v>Expliquez pourquoi la proportion de la valeur de vos ventes intérieures représentée par les frais de livraison a changé depuis le 1er janvier 2023.</v>
      </c>
    </row>
    <row r="146" spans="1:16" x14ac:dyDescent="0.35">
      <c r="B146" s="169"/>
      <c r="C146" s="170"/>
      <c r="D146" s="170"/>
      <c r="E146" s="170"/>
      <c r="F146" s="170"/>
      <c r="G146" s="170"/>
      <c r="H146" s="170"/>
      <c r="I146" s="170"/>
      <c r="J146" s="170"/>
      <c r="K146" s="170"/>
      <c r="L146" s="171"/>
      <c r="M146" s="2"/>
    </row>
    <row r="147" spans="1:16" s="3" customFormat="1" x14ac:dyDescent="0.35">
      <c r="A147" s="12"/>
      <c r="B147" s="704"/>
      <c r="C147" s="705"/>
      <c r="D147" s="705"/>
      <c r="E147" s="705"/>
      <c r="F147" s="705"/>
      <c r="G147" s="705"/>
      <c r="H147" s="705"/>
      <c r="I147" s="705"/>
      <c r="J147" s="705"/>
      <c r="K147" s="705"/>
      <c r="L147" s="706"/>
      <c r="M147" s="152"/>
      <c r="O147" s="154"/>
      <c r="P147" s="154"/>
    </row>
    <row r="148" spans="1:16" s="3" customFormat="1" x14ac:dyDescent="0.35">
      <c r="A148" s="12"/>
      <c r="B148" s="704"/>
      <c r="C148" s="705"/>
      <c r="D148" s="705"/>
      <c r="E148" s="705"/>
      <c r="F148" s="705"/>
      <c r="G148" s="705"/>
      <c r="H148" s="705"/>
      <c r="I148" s="705"/>
      <c r="J148" s="705"/>
      <c r="K148" s="705"/>
      <c r="L148" s="706"/>
      <c r="M148" s="152"/>
      <c r="O148" s="154"/>
      <c r="P148" s="154"/>
    </row>
    <row r="149" spans="1:16" s="3" customFormat="1" x14ac:dyDescent="0.35">
      <c r="A149" s="12"/>
      <c r="B149" s="704"/>
      <c r="C149" s="705"/>
      <c r="D149" s="705"/>
      <c r="E149" s="705"/>
      <c r="F149" s="705"/>
      <c r="G149" s="705"/>
      <c r="H149" s="705"/>
      <c r="I149" s="705"/>
      <c r="J149" s="705"/>
      <c r="K149" s="705"/>
      <c r="L149" s="706"/>
      <c r="M149" s="152"/>
      <c r="O149" s="154"/>
      <c r="P149" s="154"/>
    </row>
    <row r="150" spans="1:16" s="3" customFormat="1" x14ac:dyDescent="0.35">
      <c r="A150" s="12"/>
      <c r="B150" s="704"/>
      <c r="C150" s="705"/>
      <c r="D150" s="705"/>
      <c r="E150" s="705"/>
      <c r="F150" s="705"/>
      <c r="G150" s="705"/>
      <c r="H150" s="705"/>
      <c r="I150" s="705"/>
      <c r="J150" s="705"/>
      <c r="K150" s="705"/>
      <c r="L150" s="706"/>
      <c r="M150" s="152"/>
      <c r="O150" s="154"/>
      <c r="P150" s="154"/>
    </row>
    <row r="151" spans="1:16" s="3" customFormat="1" x14ac:dyDescent="0.35">
      <c r="A151" s="12"/>
      <c r="B151" s="704"/>
      <c r="C151" s="705"/>
      <c r="D151" s="705"/>
      <c r="E151" s="705"/>
      <c r="F151" s="705"/>
      <c r="G151" s="705"/>
      <c r="H151" s="705"/>
      <c r="I151" s="705"/>
      <c r="J151" s="705"/>
      <c r="K151" s="705"/>
      <c r="L151" s="706"/>
      <c r="M151" s="152"/>
      <c r="O151" s="154"/>
      <c r="P151" s="154"/>
    </row>
    <row r="152" spans="1:16" s="3" customFormat="1" x14ac:dyDescent="0.35">
      <c r="A152" s="12"/>
      <c r="B152" s="704"/>
      <c r="C152" s="705"/>
      <c r="D152" s="705"/>
      <c r="E152" s="705"/>
      <c r="F152" s="705"/>
      <c r="G152" s="705"/>
      <c r="H152" s="705"/>
      <c r="I152" s="705"/>
      <c r="J152" s="705"/>
      <c r="K152" s="705"/>
      <c r="L152" s="706"/>
      <c r="M152" s="152"/>
      <c r="O152" s="154"/>
      <c r="P152" s="154"/>
    </row>
    <row r="153" spans="1:16" s="3" customFormat="1" x14ac:dyDescent="0.35">
      <c r="A153" s="12"/>
      <c r="B153" s="704"/>
      <c r="C153" s="705"/>
      <c r="D153" s="705"/>
      <c r="E153" s="705"/>
      <c r="F153" s="705"/>
      <c r="G153" s="705"/>
      <c r="H153" s="705"/>
      <c r="I153" s="705"/>
      <c r="J153" s="705"/>
      <c r="K153" s="705"/>
      <c r="L153" s="706"/>
      <c r="M153" s="152"/>
      <c r="O153" s="154"/>
      <c r="P153" s="154"/>
    </row>
    <row r="154" spans="1:16" s="3" customFormat="1" x14ac:dyDescent="0.35">
      <c r="A154" s="12"/>
      <c r="B154" s="704"/>
      <c r="C154" s="705"/>
      <c r="D154" s="705"/>
      <c r="E154" s="705"/>
      <c r="F154" s="705"/>
      <c r="G154" s="705"/>
      <c r="H154" s="705"/>
      <c r="I154" s="705"/>
      <c r="J154" s="705"/>
      <c r="K154" s="705"/>
      <c r="L154" s="706"/>
      <c r="M154" s="152"/>
      <c r="O154" s="154"/>
      <c r="P154" s="154"/>
    </row>
    <row r="155" spans="1:16" x14ac:dyDescent="0.35">
      <c r="B155" s="175"/>
      <c r="C155" s="176"/>
      <c r="D155" s="176"/>
      <c r="E155" s="176"/>
      <c r="F155" s="176"/>
      <c r="G155" s="176"/>
      <c r="H155" s="176"/>
      <c r="I155" s="176"/>
      <c r="J155" s="176"/>
      <c r="K155" s="176"/>
      <c r="L155" s="177"/>
      <c r="M155" s="2"/>
    </row>
    <row r="156" spans="1:16" s="3" customFormat="1" x14ac:dyDescent="0.35">
      <c r="A156" s="12"/>
      <c r="B156" s="710" t="s">
        <v>34</v>
      </c>
      <c r="C156" s="711"/>
      <c r="D156" s="711"/>
      <c r="E156" s="711"/>
      <c r="F156" s="711"/>
      <c r="G156" s="711"/>
      <c r="H156" s="711"/>
      <c r="I156" s="711"/>
      <c r="J156" s="711"/>
      <c r="K156" s="711"/>
      <c r="L156" s="712"/>
      <c r="M156" s="167"/>
    </row>
    <row r="157" spans="1:16" x14ac:dyDescent="0.35">
      <c r="B157" s="169"/>
      <c r="C157" s="170"/>
      <c r="D157" s="170"/>
      <c r="E157" s="170"/>
      <c r="F157" s="170"/>
      <c r="G157" s="170"/>
      <c r="H157" s="170"/>
      <c r="I157" s="170"/>
      <c r="J157" s="170"/>
      <c r="K157" s="170"/>
      <c r="L157" s="171"/>
      <c r="M157" s="2"/>
    </row>
    <row r="158" spans="1:16" x14ac:dyDescent="0.35">
      <c r="B158" s="602" t="str">
        <f>IF(Intro!$G$21="English",O158,P158)</f>
        <v>Fournissez les stratégies et les objectifs de votre entreprise pour les deux prochaines années en ce qui concerne les ventes intérieures de la production nationale des marchandises. Fournir la justification et les hypothèses qui sous-tendent ces stratégies et objectifs.</v>
      </c>
      <c r="C158" s="603"/>
      <c r="D158" s="603"/>
      <c r="E158" s="603"/>
      <c r="F158" s="603"/>
      <c r="G158" s="603"/>
      <c r="H158" s="603"/>
      <c r="I158" s="603"/>
      <c r="J158" s="603"/>
      <c r="K158" s="603"/>
      <c r="L158" s="604"/>
      <c r="M158" s="2"/>
      <c r="O158" s="2" t="s">
        <v>197</v>
      </c>
      <c r="P158" s="2" t="s">
        <v>198</v>
      </c>
    </row>
    <row r="159" spans="1:16" x14ac:dyDescent="0.35">
      <c r="B159" s="602"/>
      <c r="C159" s="603"/>
      <c r="D159" s="603"/>
      <c r="E159" s="603"/>
      <c r="F159" s="603"/>
      <c r="G159" s="603"/>
      <c r="H159" s="603"/>
      <c r="I159" s="603"/>
      <c r="J159" s="603"/>
      <c r="K159" s="603"/>
      <c r="L159" s="604"/>
      <c r="M159" s="2"/>
    </row>
    <row r="160" spans="1:16" x14ac:dyDescent="0.35">
      <c r="B160" s="169"/>
      <c r="C160" s="170"/>
      <c r="D160" s="170"/>
      <c r="E160" s="170"/>
      <c r="F160" s="170"/>
      <c r="G160" s="170"/>
      <c r="H160" s="170"/>
      <c r="I160" s="170"/>
      <c r="J160" s="170"/>
      <c r="K160" s="170"/>
      <c r="L160" s="171"/>
      <c r="M160" s="2"/>
    </row>
    <row r="161" spans="1:16" s="3" customFormat="1" x14ac:dyDescent="0.35">
      <c r="A161" s="12"/>
      <c r="B161" s="704"/>
      <c r="C161" s="705"/>
      <c r="D161" s="705"/>
      <c r="E161" s="705"/>
      <c r="F161" s="705"/>
      <c r="G161" s="705"/>
      <c r="H161" s="705"/>
      <c r="I161" s="705"/>
      <c r="J161" s="705"/>
      <c r="K161" s="705"/>
      <c r="L161" s="706"/>
      <c r="M161" s="152"/>
      <c r="O161" s="154"/>
      <c r="P161" s="154"/>
    </row>
    <row r="162" spans="1:16" s="3" customFormat="1" x14ac:dyDescent="0.35">
      <c r="A162" s="12"/>
      <c r="B162" s="704"/>
      <c r="C162" s="705"/>
      <c r="D162" s="705"/>
      <c r="E162" s="705"/>
      <c r="F162" s="705"/>
      <c r="G162" s="705"/>
      <c r="H162" s="705"/>
      <c r="I162" s="705"/>
      <c r="J162" s="705"/>
      <c r="K162" s="705"/>
      <c r="L162" s="706"/>
      <c r="M162" s="152"/>
      <c r="O162" s="154"/>
      <c r="P162" s="154"/>
    </row>
    <row r="163" spans="1:16" s="3" customFormat="1" x14ac:dyDescent="0.35">
      <c r="A163" s="12"/>
      <c r="B163" s="704"/>
      <c r="C163" s="705"/>
      <c r="D163" s="705"/>
      <c r="E163" s="705"/>
      <c r="F163" s="705"/>
      <c r="G163" s="705"/>
      <c r="H163" s="705"/>
      <c r="I163" s="705"/>
      <c r="J163" s="705"/>
      <c r="K163" s="705"/>
      <c r="L163" s="706"/>
      <c r="M163" s="152"/>
      <c r="O163" s="154"/>
      <c r="P163" s="154"/>
    </row>
    <row r="164" spans="1:16" s="3" customFormat="1" x14ac:dyDescent="0.35">
      <c r="A164" s="12"/>
      <c r="B164" s="704"/>
      <c r="C164" s="705"/>
      <c r="D164" s="705"/>
      <c r="E164" s="705"/>
      <c r="F164" s="705"/>
      <c r="G164" s="705"/>
      <c r="H164" s="705"/>
      <c r="I164" s="705"/>
      <c r="J164" s="705"/>
      <c r="K164" s="705"/>
      <c r="L164" s="706"/>
      <c r="M164" s="152"/>
      <c r="O164" s="154"/>
      <c r="P164" s="154"/>
    </row>
    <row r="165" spans="1:16" s="3" customFormat="1" x14ac:dyDescent="0.35">
      <c r="A165" s="12"/>
      <c r="B165" s="704"/>
      <c r="C165" s="705"/>
      <c r="D165" s="705"/>
      <c r="E165" s="705"/>
      <c r="F165" s="705"/>
      <c r="G165" s="705"/>
      <c r="H165" s="705"/>
      <c r="I165" s="705"/>
      <c r="J165" s="705"/>
      <c r="K165" s="705"/>
      <c r="L165" s="706"/>
      <c r="M165" s="152"/>
      <c r="O165" s="154"/>
      <c r="P165" s="154"/>
    </row>
    <row r="166" spans="1:16" s="3" customFormat="1" x14ac:dyDescent="0.35">
      <c r="A166" s="12"/>
      <c r="B166" s="704"/>
      <c r="C166" s="705"/>
      <c r="D166" s="705"/>
      <c r="E166" s="705"/>
      <c r="F166" s="705"/>
      <c r="G166" s="705"/>
      <c r="H166" s="705"/>
      <c r="I166" s="705"/>
      <c r="J166" s="705"/>
      <c r="K166" s="705"/>
      <c r="L166" s="706"/>
      <c r="M166" s="152"/>
      <c r="O166" s="154"/>
      <c r="P166" s="154"/>
    </row>
    <row r="167" spans="1:16" s="3" customFormat="1" x14ac:dyDescent="0.35">
      <c r="A167" s="12"/>
      <c r="B167" s="704"/>
      <c r="C167" s="705"/>
      <c r="D167" s="705"/>
      <c r="E167" s="705"/>
      <c r="F167" s="705"/>
      <c r="G167" s="705"/>
      <c r="H167" s="705"/>
      <c r="I167" s="705"/>
      <c r="J167" s="705"/>
      <c r="K167" s="705"/>
      <c r="L167" s="706"/>
      <c r="M167" s="152"/>
      <c r="O167" s="154"/>
      <c r="P167" s="154"/>
    </row>
    <row r="168" spans="1:16" s="3" customFormat="1" x14ac:dyDescent="0.35">
      <c r="A168" s="12"/>
      <c r="B168" s="704"/>
      <c r="C168" s="705"/>
      <c r="D168" s="705"/>
      <c r="E168" s="705"/>
      <c r="F168" s="705"/>
      <c r="G168" s="705"/>
      <c r="H168" s="705"/>
      <c r="I168" s="705"/>
      <c r="J168" s="705"/>
      <c r="K168" s="705"/>
      <c r="L168" s="706"/>
      <c r="M168" s="152"/>
      <c r="O168" s="154"/>
      <c r="P168" s="154"/>
    </row>
    <row r="169" spans="1:16" x14ac:dyDescent="0.35">
      <c r="B169" s="175"/>
      <c r="C169" s="176"/>
      <c r="D169" s="176"/>
      <c r="E169" s="176"/>
      <c r="F169" s="176"/>
      <c r="G169" s="176"/>
      <c r="H169" s="176"/>
      <c r="I169" s="176"/>
      <c r="J169" s="176"/>
      <c r="K169" s="176"/>
      <c r="L169" s="177"/>
      <c r="M169" s="2"/>
    </row>
    <row r="170" spans="1:16" s="3" customFormat="1" x14ac:dyDescent="0.35">
      <c r="A170" s="12"/>
      <c r="B170" s="710" t="s">
        <v>35</v>
      </c>
      <c r="C170" s="711"/>
      <c r="D170" s="711"/>
      <c r="E170" s="711"/>
      <c r="F170" s="711"/>
      <c r="G170" s="711"/>
      <c r="H170" s="711"/>
      <c r="I170" s="711"/>
      <c r="J170" s="711"/>
      <c r="K170" s="711"/>
      <c r="L170" s="712"/>
      <c r="M170" s="167"/>
    </row>
    <row r="171" spans="1:16" x14ac:dyDescent="0.35">
      <c r="B171" s="169"/>
      <c r="C171" s="170"/>
      <c r="D171" s="170"/>
      <c r="E171" s="170"/>
      <c r="F171" s="170"/>
      <c r="G171" s="170"/>
      <c r="H171" s="170"/>
      <c r="I171" s="170"/>
      <c r="J171" s="170"/>
      <c r="K171" s="170"/>
      <c r="L171" s="171"/>
      <c r="M171" s="2"/>
    </row>
    <row r="172" spans="1:16" x14ac:dyDescent="0.35">
      <c r="B172" s="608" t="str">
        <f>IF(Intro!$G$21="English",O172,P172)</f>
        <v>Fournissez les stratégies et les objectifs de votre entreprise pour les deux prochaines années en ce qui concerne les prix des marchandises. Fournir la justification et les hypothèses qui sous-tendent ces stratégies et objectifs.</v>
      </c>
      <c r="C172" s="609"/>
      <c r="D172" s="609"/>
      <c r="E172" s="609"/>
      <c r="F172" s="609"/>
      <c r="G172" s="609"/>
      <c r="H172" s="609"/>
      <c r="I172" s="609"/>
      <c r="J172" s="609"/>
      <c r="K172" s="609"/>
      <c r="L172" s="610"/>
      <c r="M172" s="2"/>
      <c r="O172" s="2" t="s">
        <v>356</v>
      </c>
      <c r="P172" s="2" t="s">
        <v>201</v>
      </c>
    </row>
    <row r="173" spans="1:16" x14ac:dyDescent="0.35">
      <c r="B173" s="608"/>
      <c r="C173" s="609"/>
      <c r="D173" s="609"/>
      <c r="E173" s="609"/>
      <c r="F173" s="609"/>
      <c r="G173" s="609"/>
      <c r="H173" s="609"/>
      <c r="I173" s="609"/>
      <c r="J173" s="609"/>
      <c r="K173" s="609"/>
      <c r="L173" s="610"/>
      <c r="M173" s="2"/>
    </row>
    <row r="174" spans="1:16" x14ac:dyDescent="0.35">
      <c r="B174" s="169"/>
      <c r="C174" s="170"/>
      <c r="D174" s="170"/>
      <c r="E174" s="170"/>
      <c r="F174" s="170"/>
      <c r="G174" s="170"/>
      <c r="H174" s="170"/>
      <c r="I174" s="170"/>
      <c r="J174" s="170"/>
      <c r="K174" s="170"/>
      <c r="L174" s="171"/>
      <c r="M174" s="2"/>
    </row>
    <row r="175" spans="1:16" s="3" customFormat="1" x14ac:dyDescent="0.35">
      <c r="A175" s="12"/>
      <c r="B175" s="704"/>
      <c r="C175" s="705"/>
      <c r="D175" s="705"/>
      <c r="E175" s="705"/>
      <c r="F175" s="705"/>
      <c r="G175" s="705"/>
      <c r="H175" s="705"/>
      <c r="I175" s="705"/>
      <c r="J175" s="705"/>
      <c r="K175" s="705"/>
      <c r="L175" s="706"/>
      <c r="M175" s="152"/>
      <c r="O175" s="154"/>
      <c r="P175" s="154"/>
    </row>
    <row r="176" spans="1:16" s="3" customFormat="1" x14ac:dyDescent="0.35">
      <c r="A176" s="12"/>
      <c r="B176" s="704"/>
      <c r="C176" s="705"/>
      <c r="D176" s="705"/>
      <c r="E176" s="705"/>
      <c r="F176" s="705"/>
      <c r="G176" s="705"/>
      <c r="H176" s="705"/>
      <c r="I176" s="705"/>
      <c r="J176" s="705"/>
      <c r="K176" s="705"/>
      <c r="L176" s="706"/>
      <c r="M176" s="152"/>
      <c r="O176" s="154"/>
      <c r="P176" s="154"/>
    </row>
    <row r="177" spans="1:16" s="3" customFormat="1" x14ac:dyDescent="0.35">
      <c r="A177" s="12"/>
      <c r="B177" s="704"/>
      <c r="C177" s="705"/>
      <c r="D177" s="705"/>
      <c r="E177" s="705"/>
      <c r="F177" s="705"/>
      <c r="G177" s="705"/>
      <c r="H177" s="705"/>
      <c r="I177" s="705"/>
      <c r="J177" s="705"/>
      <c r="K177" s="705"/>
      <c r="L177" s="706"/>
      <c r="M177" s="152"/>
      <c r="O177" s="154"/>
      <c r="P177" s="154"/>
    </row>
    <row r="178" spans="1:16" s="3" customFormat="1" x14ac:dyDescent="0.35">
      <c r="A178" s="12"/>
      <c r="B178" s="704"/>
      <c r="C178" s="705"/>
      <c r="D178" s="705"/>
      <c r="E178" s="705"/>
      <c r="F178" s="705"/>
      <c r="G178" s="705"/>
      <c r="H178" s="705"/>
      <c r="I178" s="705"/>
      <c r="J178" s="705"/>
      <c r="K178" s="705"/>
      <c r="L178" s="706"/>
      <c r="M178" s="152"/>
      <c r="O178" s="154"/>
      <c r="P178" s="154"/>
    </row>
    <row r="179" spans="1:16" s="3" customFormat="1" x14ac:dyDescent="0.35">
      <c r="A179" s="12"/>
      <c r="B179" s="704"/>
      <c r="C179" s="705"/>
      <c r="D179" s="705"/>
      <c r="E179" s="705"/>
      <c r="F179" s="705"/>
      <c r="G179" s="705"/>
      <c r="H179" s="705"/>
      <c r="I179" s="705"/>
      <c r="J179" s="705"/>
      <c r="K179" s="705"/>
      <c r="L179" s="706"/>
      <c r="M179" s="152"/>
      <c r="O179" s="154"/>
      <c r="P179" s="154"/>
    </row>
    <row r="180" spans="1:16" s="3" customFormat="1" x14ac:dyDescent="0.35">
      <c r="A180" s="12"/>
      <c r="B180" s="704"/>
      <c r="C180" s="705"/>
      <c r="D180" s="705"/>
      <c r="E180" s="705"/>
      <c r="F180" s="705"/>
      <c r="G180" s="705"/>
      <c r="H180" s="705"/>
      <c r="I180" s="705"/>
      <c r="J180" s="705"/>
      <c r="K180" s="705"/>
      <c r="L180" s="706"/>
      <c r="M180" s="152"/>
      <c r="O180" s="154"/>
      <c r="P180" s="154"/>
    </row>
    <row r="181" spans="1:16" s="3" customFormat="1" x14ac:dyDescent="0.35">
      <c r="A181" s="12"/>
      <c r="B181" s="704"/>
      <c r="C181" s="705"/>
      <c r="D181" s="705"/>
      <c r="E181" s="705"/>
      <c r="F181" s="705"/>
      <c r="G181" s="705"/>
      <c r="H181" s="705"/>
      <c r="I181" s="705"/>
      <c r="J181" s="705"/>
      <c r="K181" s="705"/>
      <c r="L181" s="706"/>
      <c r="M181" s="152"/>
      <c r="O181" s="154"/>
      <c r="P181" s="154"/>
    </row>
    <row r="182" spans="1:16" s="3" customFormat="1" x14ac:dyDescent="0.35">
      <c r="A182" s="12"/>
      <c r="B182" s="704"/>
      <c r="C182" s="705"/>
      <c r="D182" s="705"/>
      <c r="E182" s="705"/>
      <c r="F182" s="705"/>
      <c r="G182" s="705"/>
      <c r="H182" s="705"/>
      <c r="I182" s="705"/>
      <c r="J182" s="705"/>
      <c r="K182" s="705"/>
      <c r="L182" s="706"/>
      <c r="M182" s="152"/>
      <c r="O182" s="154"/>
      <c r="P182" s="154"/>
    </row>
    <row r="183" spans="1:16" x14ac:dyDescent="0.35">
      <c r="B183" s="175"/>
      <c r="C183" s="176"/>
      <c r="D183" s="176"/>
      <c r="E183" s="176"/>
      <c r="F183" s="176"/>
      <c r="G183" s="176"/>
      <c r="H183" s="176"/>
      <c r="I183" s="176"/>
      <c r="J183" s="176"/>
      <c r="K183" s="176"/>
      <c r="L183" s="177"/>
      <c r="M183" s="2"/>
    </row>
    <row r="184" spans="1:16" s="3" customFormat="1" x14ac:dyDescent="0.35">
      <c r="A184" s="12"/>
      <c r="B184" s="710" t="s">
        <v>36</v>
      </c>
      <c r="C184" s="711"/>
      <c r="D184" s="711"/>
      <c r="E184" s="711"/>
      <c r="F184" s="711"/>
      <c r="G184" s="711"/>
      <c r="H184" s="711"/>
      <c r="I184" s="711"/>
      <c r="J184" s="711"/>
      <c r="K184" s="711"/>
      <c r="L184" s="712"/>
      <c r="M184" s="167"/>
    </row>
    <row r="185" spans="1:16" x14ac:dyDescent="0.35">
      <c r="B185" s="169"/>
      <c r="C185" s="170"/>
      <c r="D185" s="170"/>
      <c r="E185" s="170"/>
      <c r="F185" s="170"/>
      <c r="G185" s="170"/>
      <c r="H185" s="170"/>
      <c r="I185" s="170"/>
      <c r="J185" s="170"/>
      <c r="K185" s="170"/>
      <c r="L185" s="171"/>
      <c r="M185" s="2"/>
    </row>
    <row r="186" spans="1:16" x14ac:dyDescent="0.35">
      <c r="B186" s="608" t="str">
        <f>IF(Intro!$G$21="English",O186,P186)</f>
        <v>Fournissez les stratégies et les objectifs de votre entreprise pour les deux prochaines années en ce qui concerne les ventes à l'exportation des marchandises. Fournir la justification et les hypothèses qui sous-tendent ces stratégies et objectifs.</v>
      </c>
      <c r="C186" s="609"/>
      <c r="D186" s="609"/>
      <c r="E186" s="609"/>
      <c r="F186" s="609"/>
      <c r="G186" s="609"/>
      <c r="H186" s="609"/>
      <c r="I186" s="609"/>
      <c r="J186" s="609"/>
      <c r="K186" s="609"/>
      <c r="L186" s="610"/>
      <c r="M186" s="2"/>
      <c r="O186" s="2" t="s">
        <v>199</v>
      </c>
      <c r="P186" s="2" t="s">
        <v>200</v>
      </c>
    </row>
    <row r="187" spans="1:16" x14ac:dyDescent="0.35">
      <c r="B187" s="608"/>
      <c r="C187" s="609"/>
      <c r="D187" s="609"/>
      <c r="E187" s="609"/>
      <c r="F187" s="609"/>
      <c r="G187" s="609"/>
      <c r="H187" s="609"/>
      <c r="I187" s="609"/>
      <c r="J187" s="609"/>
      <c r="K187" s="609"/>
      <c r="L187" s="610"/>
      <c r="M187" s="2"/>
    </row>
    <row r="188" spans="1:16" x14ac:dyDescent="0.35">
      <c r="B188" s="169"/>
      <c r="C188" s="170"/>
      <c r="D188" s="170"/>
      <c r="E188" s="170"/>
      <c r="F188" s="170"/>
      <c r="G188" s="170"/>
      <c r="H188" s="170"/>
      <c r="I188" s="170"/>
      <c r="J188" s="170"/>
      <c r="K188" s="170"/>
      <c r="L188" s="171"/>
      <c r="M188" s="2"/>
    </row>
    <row r="189" spans="1:16" s="3" customFormat="1" x14ac:dyDescent="0.35">
      <c r="A189" s="12"/>
      <c r="B189" s="704"/>
      <c r="C189" s="705"/>
      <c r="D189" s="705"/>
      <c r="E189" s="705"/>
      <c r="F189" s="705"/>
      <c r="G189" s="705"/>
      <c r="H189" s="705"/>
      <c r="I189" s="705"/>
      <c r="J189" s="705"/>
      <c r="K189" s="705"/>
      <c r="L189" s="706"/>
      <c r="M189" s="152"/>
      <c r="O189" s="154"/>
      <c r="P189" s="154"/>
    </row>
    <row r="190" spans="1:16" s="3" customFormat="1" x14ac:dyDescent="0.35">
      <c r="A190" s="12"/>
      <c r="B190" s="704"/>
      <c r="C190" s="705"/>
      <c r="D190" s="705"/>
      <c r="E190" s="705"/>
      <c r="F190" s="705"/>
      <c r="G190" s="705"/>
      <c r="H190" s="705"/>
      <c r="I190" s="705"/>
      <c r="J190" s="705"/>
      <c r="K190" s="705"/>
      <c r="L190" s="706"/>
      <c r="M190" s="152"/>
      <c r="O190" s="154"/>
      <c r="P190" s="154"/>
    </row>
    <row r="191" spans="1:16" s="3" customFormat="1" x14ac:dyDescent="0.35">
      <c r="A191" s="12"/>
      <c r="B191" s="704"/>
      <c r="C191" s="705"/>
      <c r="D191" s="705"/>
      <c r="E191" s="705"/>
      <c r="F191" s="705"/>
      <c r="G191" s="705"/>
      <c r="H191" s="705"/>
      <c r="I191" s="705"/>
      <c r="J191" s="705"/>
      <c r="K191" s="705"/>
      <c r="L191" s="706"/>
      <c r="M191" s="152"/>
      <c r="O191" s="154"/>
      <c r="P191" s="154"/>
    </row>
    <row r="192" spans="1:16" s="3" customFormat="1" x14ac:dyDescent="0.35">
      <c r="A192" s="12"/>
      <c r="B192" s="704"/>
      <c r="C192" s="705"/>
      <c r="D192" s="705"/>
      <c r="E192" s="705"/>
      <c r="F192" s="705"/>
      <c r="G192" s="705"/>
      <c r="H192" s="705"/>
      <c r="I192" s="705"/>
      <c r="J192" s="705"/>
      <c r="K192" s="705"/>
      <c r="L192" s="706"/>
      <c r="M192" s="152"/>
      <c r="O192" s="154"/>
      <c r="P192" s="154"/>
    </row>
    <row r="193" spans="1:16" s="3" customFormat="1" x14ac:dyDescent="0.35">
      <c r="A193" s="12"/>
      <c r="B193" s="704"/>
      <c r="C193" s="705"/>
      <c r="D193" s="705"/>
      <c r="E193" s="705"/>
      <c r="F193" s="705"/>
      <c r="G193" s="705"/>
      <c r="H193" s="705"/>
      <c r="I193" s="705"/>
      <c r="J193" s="705"/>
      <c r="K193" s="705"/>
      <c r="L193" s="706"/>
      <c r="M193" s="152"/>
      <c r="O193" s="154"/>
      <c r="P193" s="154"/>
    </row>
    <row r="194" spans="1:16" s="3" customFormat="1" x14ac:dyDescent="0.35">
      <c r="A194" s="12"/>
      <c r="B194" s="704"/>
      <c r="C194" s="705"/>
      <c r="D194" s="705"/>
      <c r="E194" s="705"/>
      <c r="F194" s="705"/>
      <c r="G194" s="705"/>
      <c r="H194" s="705"/>
      <c r="I194" s="705"/>
      <c r="J194" s="705"/>
      <c r="K194" s="705"/>
      <c r="L194" s="706"/>
      <c r="M194" s="152"/>
      <c r="O194" s="154"/>
      <c r="P194" s="154"/>
    </row>
    <row r="195" spans="1:16" s="3" customFormat="1" x14ac:dyDescent="0.35">
      <c r="A195" s="12"/>
      <c r="B195" s="704"/>
      <c r="C195" s="705"/>
      <c r="D195" s="705"/>
      <c r="E195" s="705"/>
      <c r="F195" s="705"/>
      <c r="G195" s="705"/>
      <c r="H195" s="705"/>
      <c r="I195" s="705"/>
      <c r="J195" s="705"/>
      <c r="K195" s="705"/>
      <c r="L195" s="706"/>
      <c r="M195" s="152"/>
      <c r="O195" s="154"/>
      <c r="P195" s="154"/>
    </row>
    <row r="196" spans="1:16" s="3" customFormat="1" x14ac:dyDescent="0.35">
      <c r="A196" s="12"/>
      <c r="B196" s="704"/>
      <c r="C196" s="705"/>
      <c r="D196" s="705"/>
      <c r="E196" s="705"/>
      <c r="F196" s="705"/>
      <c r="G196" s="705"/>
      <c r="H196" s="705"/>
      <c r="I196" s="705"/>
      <c r="J196" s="705"/>
      <c r="K196" s="705"/>
      <c r="L196" s="706"/>
      <c r="M196" s="152"/>
      <c r="O196" s="154"/>
      <c r="P196" s="154"/>
    </row>
    <row r="197" spans="1:16" x14ac:dyDescent="0.35">
      <c r="B197" s="175"/>
      <c r="C197" s="176"/>
      <c r="D197" s="176"/>
      <c r="E197" s="176"/>
      <c r="F197" s="176"/>
      <c r="G197" s="176"/>
      <c r="H197" s="176"/>
      <c r="I197" s="176"/>
      <c r="J197" s="176"/>
      <c r="K197" s="176"/>
      <c r="L197" s="177"/>
      <c r="M197" s="2"/>
    </row>
    <row r="198" spans="1:16" s="3" customFormat="1" x14ac:dyDescent="0.35">
      <c r="A198" s="12"/>
      <c r="B198" s="182"/>
      <c r="C198" s="182"/>
      <c r="D198" s="182"/>
      <c r="E198" s="183"/>
      <c r="F198" s="183"/>
      <c r="G198" s="183"/>
      <c r="H198" s="183"/>
      <c r="I198" s="183"/>
      <c r="J198" s="183"/>
      <c r="K198" s="183"/>
      <c r="L198" s="183"/>
      <c r="M198" s="167"/>
    </row>
    <row r="199" spans="1:16" x14ac:dyDescent="0.35">
      <c r="B199" s="599" t="str">
        <f>IF(Intro!$G$21="English",O199,P199)</f>
        <v>VENTES RÉGIONALES</v>
      </c>
      <c r="C199" s="600"/>
      <c r="D199" s="600"/>
      <c r="E199" s="600"/>
      <c r="F199" s="600"/>
      <c r="G199" s="600"/>
      <c r="H199" s="600"/>
      <c r="I199" s="600"/>
      <c r="J199" s="600"/>
      <c r="K199" s="600"/>
      <c r="L199" s="601"/>
      <c r="M199" s="2"/>
      <c r="O199" s="198" t="s">
        <v>649</v>
      </c>
      <c r="P199" s="198" t="s">
        <v>650</v>
      </c>
    </row>
    <row r="200" spans="1:16" x14ac:dyDescent="0.35">
      <c r="B200" s="728" t="s">
        <v>37</v>
      </c>
      <c r="C200" s="729"/>
      <c r="D200" s="729"/>
      <c r="E200" s="729"/>
      <c r="F200" s="729"/>
      <c r="G200" s="729"/>
      <c r="H200" s="729"/>
      <c r="I200" s="729"/>
      <c r="J200" s="729"/>
      <c r="K200" s="729"/>
      <c r="L200" s="730"/>
      <c r="M200" s="2"/>
    </row>
    <row r="201" spans="1:16" x14ac:dyDescent="0.35">
      <c r="B201" s="24"/>
      <c r="C201" s="25"/>
      <c r="D201" s="25"/>
      <c r="E201" s="26"/>
      <c r="F201" s="26"/>
      <c r="G201" s="26"/>
      <c r="H201" s="26"/>
      <c r="I201" s="26"/>
      <c r="J201" s="26"/>
      <c r="K201" s="26"/>
      <c r="L201" s="27"/>
      <c r="M201" s="2"/>
    </row>
    <row r="202" spans="1:16" x14ac:dyDescent="0.35">
      <c r="B202" s="602" t="str">
        <f>IF(Intro!$G$21="English",O202,P202)</f>
        <v>Fournissez les volumes des ventes nationales des marchandises fabriquées au Canada par votre entreprise, par région.</v>
      </c>
      <c r="C202" s="603"/>
      <c r="D202" s="603"/>
      <c r="E202" s="603"/>
      <c r="F202" s="603"/>
      <c r="G202" s="603"/>
      <c r="H202" s="603"/>
      <c r="I202" s="603"/>
      <c r="J202" s="603"/>
      <c r="K202" s="603"/>
      <c r="L202" s="604"/>
      <c r="M202" s="2"/>
      <c r="O202" s="11" t="s">
        <v>811</v>
      </c>
      <c r="P202" s="2" t="s">
        <v>812</v>
      </c>
    </row>
    <row r="203" spans="1:16" ht="15.5" x14ac:dyDescent="0.35">
      <c r="B203" s="159"/>
      <c r="C203" s="160"/>
      <c r="D203" s="25"/>
      <c r="E203" s="26"/>
      <c r="F203" s="26"/>
      <c r="G203" s="26"/>
      <c r="H203" s="26"/>
      <c r="I203" s="26"/>
      <c r="J203" s="26"/>
      <c r="K203" s="26"/>
      <c r="L203" s="27"/>
      <c r="M203" s="2"/>
      <c r="O203" s="11"/>
      <c r="P203" s="273"/>
    </row>
    <row r="204" spans="1:16" x14ac:dyDescent="0.35">
      <c r="B204" s="159"/>
      <c r="C204" s="160"/>
      <c r="D204" s="2"/>
      <c r="E204" s="2"/>
      <c r="F204" s="25"/>
      <c r="G204" s="769">
        <f>Variables!$B$6</f>
        <v>2023</v>
      </c>
      <c r="H204" s="769">
        <f>G204+1</f>
        <v>2024</v>
      </c>
      <c r="I204" s="769">
        <f>H204+1</f>
        <v>2025</v>
      </c>
      <c r="J204" s="769" t="str">
        <f>J141</f>
        <v>janv.-mars 2025</v>
      </c>
      <c r="K204" s="769" t="str">
        <f>K141</f>
        <v>janv.-mars 2026</v>
      </c>
      <c r="L204" s="178"/>
      <c r="M204" s="2"/>
      <c r="O204" s="11"/>
    </row>
    <row r="205" spans="1:16" x14ac:dyDescent="0.35">
      <c r="B205" s="159"/>
      <c r="C205" s="160"/>
      <c r="D205" s="2"/>
      <c r="E205" s="2"/>
      <c r="F205" s="25"/>
      <c r="G205" s="769"/>
      <c r="H205" s="769"/>
      <c r="I205" s="769"/>
      <c r="J205" s="769"/>
      <c r="K205" s="769"/>
      <c r="L205" s="178"/>
      <c r="M205" s="2"/>
      <c r="O205" s="11"/>
    </row>
    <row r="206" spans="1:16" x14ac:dyDescent="0.35">
      <c r="B206" s="822" t="str">
        <f>IF(Intro!$G$21="English",O206,P206)</f>
        <v>Provinces de l’Atlantique</v>
      </c>
      <c r="C206" s="823"/>
      <c r="D206" s="823"/>
      <c r="E206" s="823"/>
      <c r="F206" s="205" t="s">
        <v>186</v>
      </c>
      <c r="G206" s="245"/>
      <c r="H206" s="245"/>
      <c r="I206" s="245"/>
      <c r="J206" s="245"/>
      <c r="K206" s="245"/>
      <c r="L206" s="178"/>
      <c r="M206" s="2"/>
      <c r="O206" s="2" t="s">
        <v>104</v>
      </c>
      <c r="P206" s="2" t="s">
        <v>105</v>
      </c>
    </row>
    <row r="207" spans="1:16" x14ac:dyDescent="0.35">
      <c r="B207" s="822" t="str">
        <f>IF(Intro!$G$21="English",O207,P207)</f>
        <v>Québec et Ontario</v>
      </c>
      <c r="C207" s="823"/>
      <c r="D207" s="823"/>
      <c r="E207" s="823"/>
      <c r="F207" s="205" t="s">
        <v>186</v>
      </c>
      <c r="G207" s="245"/>
      <c r="H207" s="245"/>
      <c r="I207" s="245"/>
      <c r="J207" s="245"/>
      <c r="K207" s="245"/>
      <c r="L207" s="178"/>
      <c r="M207" s="2"/>
      <c r="O207" s="2" t="s">
        <v>103</v>
      </c>
      <c r="P207" s="2" t="s">
        <v>106</v>
      </c>
    </row>
    <row r="208" spans="1:16" x14ac:dyDescent="0.35">
      <c r="B208" s="822" t="str">
        <f>IF(Intro!$G$21="English",O208,P208)</f>
        <v xml:space="preserve">Manitoba et Saskatchewan </v>
      </c>
      <c r="C208" s="823"/>
      <c r="D208" s="823"/>
      <c r="E208" s="823"/>
      <c r="F208" s="205" t="s">
        <v>186</v>
      </c>
      <c r="G208" s="245"/>
      <c r="H208" s="245"/>
      <c r="I208" s="245"/>
      <c r="J208" s="245"/>
      <c r="K208" s="245"/>
      <c r="L208" s="178"/>
      <c r="M208" s="2"/>
      <c r="O208" s="2" t="s">
        <v>102</v>
      </c>
      <c r="P208" s="2" t="s">
        <v>107</v>
      </c>
    </row>
    <row r="209" spans="1:16" x14ac:dyDescent="0.35">
      <c r="B209" s="822" t="str">
        <f>IF(Intro!$G$21="English",O209,P209)</f>
        <v>Alberta et Colombie-Britannique</v>
      </c>
      <c r="C209" s="823"/>
      <c r="D209" s="823"/>
      <c r="E209" s="823"/>
      <c r="F209" s="205" t="s">
        <v>186</v>
      </c>
      <c r="G209" s="245"/>
      <c r="H209" s="245"/>
      <c r="I209" s="245"/>
      <c r="J209" s="245"/>
      <c r="K209" s="245"/>
      <c r="L209" s="178"/>
      <c r="M209" s="2"/>
      <c r="O209" s="2" t="s">
        <v>101</v>
      </c>
      <c r="P209" s="2" t="s">
        <v>108</v>
      </c>
    </row>
    <row r="210" spans="1:16" x14ac:dyDescent="0.35">
      <c r="B210" s="822" t="str">
        <f>IF(Intro!$G$21="English",O210,P210)</f>
        <v>Nunavut, Yukon et Territoires du Nord-Ouest</v>
      </c>
      <c r="C210" s="823"/>
      <c r="D210" s="823"/>
      <c r="E210" s="823"/>
      <c r="F210" s="205" t="s">
        <v>186</v>
      </c>
      <c r="G210" s="245"/>
      <c r="H210" s="245"/>
      <c r="I210" s="245"/>
      <c r="J210" s="245"/>
      <c r="K210" s="245"/>
      <c r="L210" s="178"/>
      <c r="M210" s="2"/>
      <c r="O210" s="2" t="s">
        <v>100</v>
      </c>
      <c r="P210" s="2" t="s">
        <v>109</v>
      </c>
    </row>
    <row r="211" spans="1:16" s="3" customFormat="1" x14ac:dyDescent="0.35">
      <c r="A211" s="18"/>
      <c r="B211" s="822" t="str">
        <f>IF(Intro!$G$21="English",O211,P211)</f>
        <v>Non Imputé</v>
      </c>
      <c r="C211" s="823"/>
      <c r="D211" s="823"/>
      <c r="E211" s="823"/>
      <c r="F211" s="205" t="s">
        <v>186</v>
      </c>
      <c r="G211" s="253">
        <f>100-SUM(G206:G210)</f>
        <v>100</v>
      </c>
      <c r="H211" s="253">
        <f t="shared" ref="H211:I211" si="15">100-SUM(H206:H210)</f>
        <v>100</v>
      </c>
      <c r="I211" s="253">
        <f t="shared" si="15"/>
        <v>100</v>
      </c>
      <c r="J211" s="253">
        <f t="shared" ref="J211:K211" si="16">100-SUM(J206:J210)</f>
        <v>100</v>
      </c>
      <c r="K211" s="253">
        <f t="shared" si="16"/>
        <v>100</v>
      </c>
      <c r="L211" s="178"/>
      <c r="O211" s="3" t="s">
        <v>430</v>
      </c>
      <c r="P211" s="3" t="s">
        <v>591</v>
      </c>
    </row>
    <row r="212" spans="1:16" x14ac:dyDescent="0.35">
      <c r="B212" s="175"/>
      <c r="C212" s="176"/>
      <c r="D212" s="176"/>
      <c r="E212" s="176"/>
      <c r="F212" s="176"/>
      <c r="G212" s="176"/>
      <c r="H212" s="176"/>
      <c r="I212" s="176"/>
      <c r="J212" s="176"/>
      <c r="K212" s="176"/>
      <c r="L212" s="177"/>
      <c r="M212" s="2"/>
    </row>
    <row r="213" spans="1:16" x14ac:dyDescent="0.35">
      <c r="B213" s="170"/>
      <c r="C213" s="170"/>
      <c r="D213" s="170"/>
      <c r="E213" s="170"/>
      <c r="F213" s="170"/>
      <c r="G213" s="170"/>
      <c r="H213" s="170"/>
      <c r="I213" s="170"/>
      <c r="J213" s="170"/>
      <c r="K213" s="170"/>
      <c r="L213" s="170"/>
      <c r="M213" s="2"/>
    </row>
    <row r="214" spans="1:16" x14ac:dyDescent="0.35">
      <c r="B214" s="599" t="str">
        <f>IF(Intro!$G$21="English",O214,P214)</f>
        <v>VENTES AU CANADA DE LA PRODUCTION NATIONALE À VOS CINQ PLUS IMPORTANTS CLIENTS</v>
      </c>
      <c r="C214" s="600"/>
      <c r="D214" s="600"/>
      <c r="E214" s="600"/>
      <c r="F214" s="600"/>
      <c r="G214" s="600"/>
      <c r="H214" s="600"/>
      <c r="I214" s="600"/>
      <c r="J214" s="600"/>
      <c r="K214" s="600"/>
      <c r="L214" s="601"/>
      <c r="M214" s="2"/>
      <c r="O214" s="2" t="s">
        <v>127</v>
      </c>
      <c r="P214" s="2" t="s">
        <v>126</v>
      </c>
    </row>
    <row r="215" spans="1:16" x14ac:dyDescent="0.35">
      <c r="B215" s="728" t="s">
        <v>38</v>
      </c>
      <c r="C215" s="729"/>
      <c r="D215" s="729"/>
      <c r="E215" s="729"/>
      <c r="F215" s="729"/>
      <c r="G215" s="729"/>
      <c r="H215" s="729"/>
      <c r="I215" s="729"/>
      <c r="J215" s="729"/>
      <c r="K215" s="729"/>
      <c r="L215" s="730"/>
      <c r="M215" s="2"/>
    </row>
    <row r="216" spans="1:16" x14ac:dyDescent="0.35">
      <c r="B216" s="24"/>
      <c r="C216" s="25"/>
      <c r="D216" s="25"/>
      <c r="E216" s="26"/>
      <c r="F216" s="26"/>
      <c r="G216" s="26"/>
      <c r="H216" s="26"/>
      <c r="I216" s="26"/>
      <c r="J216" s="26"/>
      <c r="K216" s="26"/>
      <c r="L216" s="27"/>
      <c r="M216" s="2"/>
    </row>
    <row r="217" spans="1:16" x14ac:dyDescent="0.35">
      <c r="B217" s="602" t="str">
        <f>IF(Intro!$G$21="English",O217,P217)</f>
        <v>Indiquez les cinq plus importants clients de votre entreprise pour les marchandises, par volume produit et vendu au Canada, depuis T2 - 2024.</v>
      </c>
      <c r="C217" s="603"/>
      <c r="D217" s="603"/>
      <c r="E217" s="603"/>
      <c r="F217" s="603"/>
      <c r="G217" s="603"/>
      <c r="H217" s="603"/>
      <c r="I217" s="603"/>
      <c r="J217" s="603"/>
      <c r="K217" s="603"/>
      <c r="L217" s="604"/>
      <c r="M217" s="2"/>
      <c r="O217" s="11" t="str">
        <f>"Identify your firm's five largest accounts for the goods produced and sold in Canada, by volume since "&amp;E229&amp;"."</f>
        <v>Identify your firm's five largest accounts for the goods produced and sold in Canada, by volume since T2 - 2024.</v>
      </c>
      <c r="P217" s="2" t="str">
        <f>"Indiquez les cinq plus importants clients de votre entreprise pour les marchandises, par volume produit et vendu au Canada, depuis "&amp;E229&amp;"."</f>
        <v>Indiquez les cinq plus importants clients de votre entreprise pour les marchandises, par volume produit et vendu au Canada, depuis T2 - 2024.</v>
      </c>
    </row>
    <row r="218" spans="1:16" x14ac:dyDescent="0.35">
      <c r="B218" s="159"/>
      <c r="C218" s="160"/>
      <c r="D218" s="25"/>
      <c r="E218" s="26"/>
      <c r="F218" s="26"/>
      <c r="G218" s="26"/>
      <c r="H218" s="26"/>
      <c r="I218" s="26"/>
      <c r="J218" s="26"/>
      <c r="K218" s="26"/>
      <c r="L218" s="27"/>
      <c r="M218" s="2"/>
      <c r="O218" s="11"/>
    </row>
    <row r="219" spans="1:16" x14ac:dyDescent="0.35">
      <c r="B219" s="202" t="str">
        <f>IF(Intro!$G$21="English",O219,P219)</f>
        <v>Client 1</v>
      </c>
      <c r="C219" s="820"/>
      <c r="D219" s="821"/>
      <c r="E219" s="821"/>
      <c r="F219" s="821"/>
      <c r="G219" s="821"/>
      <c r="H219" s="821"/>
      <c r="I219" s="821"/>
      <c r="J219" s="821"/>
      <c r="K219" s="821"/>
      <c r="L219" s="821"/>
      <c r="M219" s="2"/>
      <c r="O219" s="11" t="s">
        <v>116</v>
      </c>
      <c r="P219" s="2" t="s">
        <v>117</v>
      </c>
    </row>
    <row r="220" spans="1:16" x14ac:dyDescent="0.35">
      <c r="B220" s="202" t="str">
        <f>IF(Intro!$G$21="English",O220,P220)</f>
        <v>Client 2</v>
      </c>
      <c r="C220" s="820"/>
      <c r="D220" s="821"/>
      <c r="E220" s="821"/>
      <c r="F220" s="821"/>
      <c r="G220" s="821"/>
      <c r="H220" s="821"/>
      <c r="I220" s="821"/>
      <c r="J220" s="821"/>
      <c r="K220" s="821"/>
      <c r="L220" s="821"/>
      <c r="M220" s="2"/>
      <c r="O220" s="11" t="s">
        <v>118</v>
      </c>
      <c r="P220" s="2" t="s">
        <v>119</v>
      </c>
    </row>
    <row r="221" spans="1:16" x14ac:dyDescent="0.35">
      <c r="B221" s="202" t="str">
        <f>IF(Intro!$G$21="English",O221,P221)</f>
        <v>Client 3</v>
      </c>
      <c r="C221" s="820"/>
      <c r="D221" s="821"/>
      <c r="E221" s="821"/>
      <c r="F221" s="821"/>
      <c r="G221" s="821"/>
      <c r="H221" s="821"/>
      <c r="I221" s="821"/>
      <c r="J221" s="821"/>
      <c r="K221" s="821"/>
      <c r="L221" s="821"/>
      <c r="M221" s="2"/>
      <c r="O221" s="11" t="s">
        <v>120</v>
      </c>
      <c r="P221" s="2" t="s">
        <v>121</v>
      </c>
    </row>
    <row r="222" spans="1:16" x14ac:dyDescent="0.35">
      <c r="B222" s="202" t="str">
        <f>IF(Intro!$G$21="English",O222,P222)</f>
        <v>Client 4</v>
      </c>
      <c r="C222" s="820"/>
      <c r="D222" s="821"/>
      <c r="E222" s="821"/>
      <c r="F222" s="821"/>
      <c r="G222" s="821"/>
      <c r="H222" s="821"/>
      <c r="I222" s="821"/>
      <c r="J222" s="821"/>
      <c r="K222" s="821"/>
      <c r="L222" s="821"/>
      <c r="M222" s="2"/>
      <c r="O222" s="11" t="s">
        <v>122</v>
      </c>
      <c r="P222" s="2" t="s">
        <v>123</v>
      </c>
    </row>
    <row r="223" spans="1:16" x14ac:dyDescent="0.35">
      <c r="B223" s="202" t="str">
        <f>IF(Intro!$G$21="English",O223,P223)</f>
        <v>Client 5</v>
      </c>
      <c r="C223" s="820"/>
      <c r="D223" s="821"/>
      <c r="E223" s="821"/>
      <c r="F223" s="821"/>
      <c r="G223" s="821"/>
      <c r="H223" s="821"/>
      <c r="I223" s="821"/>
      <c r="J223" s="821"/>
      <c r="K223" s="821"/>
      <c r="L223" s="821"/>
      <c r="M223" s="2"/>
      <c r="O223" s="11" t="s">
        <v>124</v>
      </c>
      <c r="P223" s="2" t="s">
        <v>125</v>
      </c>
    </row>
    <row r="224" spans="1:16" x14ac:dyDescent="0.35">
      <c r="B224" s="159"/>
      <c r="C224" s="160"/>
      <c r="D224" s="25"/>
      <c r="E224" s="26"/>
      <c r="F224" s="26"/>
      <c r="G224" s="26"/>
      <c r="H224" s="26"/>
      <c r="I224" s="26"/>
      <c r="J224" s="26"/>
      <c r="K224" s="26"/>
      <c r="L224" s="27"/>
      <c r="M224" s="2"/>
      <c r="O224" s="11"/>
    </row>
    <row r="225" spans="2:16" x14ac:dyDescent="0.35">
      <c r="B225" s="710" t="s">
        <v>39</v>
      </c>
      <c r="C225" s="711"/>
      <c r="D225" s="711"/>
      <c r="E225" s="711"/>
      <c r="F225" s="711"/>
      <c r="G225" s="711"/>
      <c r="H225" s="711"/>
      <c r="I225" s="711"/>
      <c r="J225" s="711"/>
      <c r="K225" s="711"/>
      <c r="L225" s="712"/>
      <c r="M225" s="2"/>
    </row>
    <row r="226" spans="2:16" x14ac:dyDescent="0.35">
      <c r="B226" s="24"/>
      <c r="C226" s="25"/>
      <c r="D226" s="25"/>
      <c r="E226" s="26"/>
      <c r="F226" s="26"/>
      <c r="G226" s="26"/>
      <c r="H226" s="26"/>
      <c r="I226" s="26"/>
      <c r="J226" s="26"/>
      <c r="K226" s="26"/>
      <c r="L226" s="27"/>
      <c r="M226" s="2"/>
    </row>
    <row r="227" spans="2:16" x14ac:dyDescent="0.35">
      <c r="B227" s="602" t="str">
        <f>IF(Intro!$G$21="English",O227,P227)</f>
        <v>Déclarez le volume et la valeur des ventes intérieures provenant de la production nationale pour chaque client indiqué ci-dessous :</v>
      </c>
      <c r="C227" s="603"/>
      <c r="D227" s="603"/>
      <c r="E227" s="603"/>
      <c r="F227" s="603"/>
      <c r="G227" s="603"/>
      <c r="H227" s="603"/>
      <c r="I227" s="603"/>
      <c r="J227" s="603"/>
      <c r="K227" s="603"/>
      <c r="L227" s="604"/>
      <c r="M227" s="2"/>
      <c r="O227" s="11" t="s">
        <v>415</v>
      </c>
      <c r="P227" s="2" t="s">
        <v>589</v>
      </c>
    </row>
    <row r="228" spans="2:16" x14ac:dyDescent="0.35">
      <c r="B228" s="159"/>
      <c r="C228" s="160"/>
      <c r="D228" s="25"/>
      <c r="E228" s="26"/>
      <c r="F228" s="26"/>
      <c r="G228" s="26"/>
      <c r="H228" s="26"/>
      <c r="I228" s="26"/>
      <c r="J228" s="26"/>
      <c r="K228" s="26"/>
      <c r="L228" s="27"/>
      <c r="M228" s="2"/>
      <c r="O228" s="11"/>
    </row>
    <row r="229" spans="2:16" x14ac:dyDescent="0.35">
      <c r="B229" s="209"/>
      <c r="C229" s="214"/>
      <c r="D229" s="215"/>
      <c r="E229" s="208" t="str">
        <f>IF(Intro!$G$21="English",Variables!B39,Variables!C39)</f>
        <v>T2 - 2024</v>
      </c>
      <c r="F229" s="208" t="str">
        <f>IF(Intro!$G$21="English",Variables!B40,Variables!C40)</f>
        <v>T3 - 2024</v>
      </c>
      <c r="G229" s="208" t="str">
        <f>IF(Intro!$G$21="English",Variables!B41,Variables!C41)</f>
        <v>T4 - 2024</v>
      </c>
      <c r="H229" s="208" t="str">
        <f>IF(Intro!$G$21="English",Variables!B42,Variables!C42)</f>
        <v>T1 - 2025</v>
      </c>
      <c r="I229" s="208" t="str">
        <f>IF(Intro!$G$21="English",Variables!B43,Variables!C43)</f>
        <v>T2 - 2025</v>
      </c>
      <c r="J229" s="208" t="str">
        <f>IF(Intro!$G$21="English",Variables!B44,Variables!C44)</f>
        <v>T3 - 2025</v>
      </c>
      <c r="K229" s="208" t="str">
        <f>IF(Intro!$G$21="English",Variables!B45,Variables!C45)</f>
        <v>T4 - 2025</v>
      </c>
      <c r="L229" s="208" t="str">
        <f>IF(Intro!$G$21="English",Variables!B46,Variables!C46)</f>
        <v>T1 - 2026</v>
      </c>
      <c r="M229" s="2"/>
      <c r="O229" s="11"/>
    </row>
    <row r="230" spans="2:16" x14ac:dyDescent="0.35">
      <c r="B230" s="815" t="str">
        <f>IF(Intro!$G$21="English",O230,P230)</f>
        <v xml:space="preserve">Client 1 - </v>
      </c>
      <c r="C230" s="720"/>
      <c r="D230" s="720"/>
      <c r="E230" s="720"/>
      <c r="F230" s="720"/>
      <c r="G230" s="720"/>
      <c r="H230" s="720"/>
      <c r="I230" s="720"/>
      <c r="J230" s="720"/>
      <c r="K230" s="720"/>
      <c r="L230" s="721"/>
      <c r="M230" s="2"/>
      <c r="O230" s="2" t="str">
        <f>"Account 1 - "&amp;$C219</f>
        <v xml:space="preserve">Account 1 - </v>
      </c>
      <c r="P230" s="2" t="str">
        <f>"Client 1 - "&amp;$C219</f>
        <v xml:space="preserve">Client 1 - </v>
      </c>
    </row>
    <row r="231" spans="2:16" x14ac:dyDescent="0.35">
      <c r="B231" s="813" t="str">
        <f>IF(Intro!$G$21="English",Variables!$B$23,Variables!$C$23)</f>
        <v>mètres</v>
      </c>
      <c r="C231" s="814"/>
      <c r="D231" s="814"/>
      <c r="E231" s="245"/>
      <c r="F231" s="245"/>
      <c r="G231" s="245"/>
      <c r="H231" s="245"/>
      <c r="I231" s="245"/>
      <c r="J231" s="245"/>
      <c r="K231" s="245"/>
      <c r="L231" s="254"/>
      <c r="M231" s="2"/>
    </row>
    <row r="232" spans="2:16" x14ac:dyDescent="0.35">
      <c r="B232" s="813" t="str">
        <f>IF(Intro!G$21="English","net delivered selling value (CAD)","valeur de vente nette rendue (CAD)")</f>
        <v>valeur de vente nette rendue (CAD)</v>
      </c>
      <c r="C232" s="819"/>
      <c r="D232" s="819"/>
      <c r="E232" s="245"/>
      <c r="F232" s="245"/>
      <c r="G232" s="245"/>
      <c r="H232" s="245"/>
      <c r="I232" s="245"/>
      <c r="J232" s="245"/>
      <c r="K232" s="245"/>
      <c r="L232" s="254"/>
      <c r="M232" s="2"/>
    </row>
    <row r="233" spans="2:16" x14ac:dyDescent="0.35">
      <c r="B233" s="813" t="str">
        <f>"$ / "&amp;IF(Intro!$G$21="English",Variables!$B$24,Variables!$C$24)</f>
        <v>$ / mètre</v>
      </c>
      <c r="C233" s="819"/>
      <c r="D233" s="819"/>
      <c r="E233" s="255" t="str">
        <f>IF(E231=0,"-",E232/E231)</f>
        <v>-</v>
      </c>
      <c r="F233" s="255" t="str">
        <f>IF(F231=0,"-",F232/F231)</f>
        <v>-</v>
      </c>
      <c r="G233" s="255" t="str">
        <f>IF(G231=0,"-",G232/G231)</f>
        <v>-</v>
      </c>
      <c r="H233" s="255" t="str">
        <f t="shared" ref="H233:L233" si="17">IF(H231=0,"-",H232/H231)</f>
        <v>-</v>
      </c>
      <c r="I233" s="255" t="str">
        <f t="shared" si="17"/>
        <v>-</v>
      </c>
      <c r="J233" s="255" t="str">
        <f t="shared" si="17"/>
        <v>-</v>
      </c>
      <c r="K233" s="255" t="str">
        <f t="shared" si="17"/>
        <v>-</v>
      </c>
      <c r="L233" s="256" t="str">
        <f t="shared" si="17"/>
        <v>-</v>
      </c>
      <c r="M233" s="2"/>
    </row>
    <row r="234" spans="2:16" x14ac:dyDescent="0.35">
      <c r="B234" s="815" t="str">
        <f>IF(Intro!$G$21="English",O234,P234)</f>
        <v xml:space="preserve">Client 2 - </v>
      </c>
      <c r="C234" s="720"/>
      <c r="D234" s="720"/>
      <c r="E234" s="720"/>
      <c r="F234" s="720"/>
      <c r="G234" s="720"/>
      <c r="H234" s="720"/>
      <c r="I234" s="720"/>
      <c r="J234" s="720"/>
      <c r="K234" s="720"/>
      <c r="L234" s="721"/>
      <c r="M234" s="2"/>
      <c r="O234" s="2" t="str">
        <f>"Account 2 - "&amp;$C220</f>
        <v xml:space="preserve">Account 2 - </v>
      </c>
      <c r="P234" s="2" t="str">
        <f>"Client 2 - "&amp;$C220</f>
        <v xml:space="preserve">Client 2 - </v>
      </c>
    </row>
    <row r="235" spans="2:16" x14ac:dyDescent="0.35">
      <c r="B235" s="813" t="str">
        <f>IF(Intro!$G$21="English",Variables!$B$23,Variables!$C$23)</f>
        <v>mètres</v>
      </c>
      <c r="C235" s="814"/>
      <c r="D235" s="814"/>
      <c r="E235" s="245"/>
      <c r="F235" s="245"/>
      <c r="G235" s="245"/>
      <c r="H235" s="245"/>
      <c r="I235" s="245"/>
      <c r="J235" s="245"/>
      <c r="K235" s="245"/>
      <c r="L235" s="254"/>
      <c r="M235" s="2"/>
    </row>
    <row r="236" spans="2:16" x14ac:dyDescent="0.35">
      <c r="B236" s="813" t="str">
        <f>IF(Intro!G$21="English","net delivered selling value (CAD)","valeur de vente nette rendue (CAD)")</f>
        <v>valeur de vente nette rendue (CAD)</v>
      </c>
      <c r="C236" s="819"/>
      <c r="D236" s="819"/>
      <c r="E236" s="245"/>
      <c r="F236" s="245"/>
      <c r="G236" s="245"/>
      <c r="H236" s="245"/>
      <c r="I236" s="245"/>
      <c r="J236" s="245"/>
      <c r="K236" s="245"/>
      <c r="L236" s="254"/>
      <c r="M236" s="2"/>
    </row>
    <row r="237" spans="2:16" x14ac:dyDescent="0.35">
      <c r="B237" s="813" t="str">
        <f>"$ / "&amp;IF(Intro!$G$21="English",Variables!$B$24,Variables!$C$24)</f>
        <v>$ / mètre</v>
      </c>
      <c r="C237" s="819"/>
      <c r="D237" s="819"/>
      <c r="E237" s="255" t="str">
        <f>IF(E235=0,"-",E236/E235)</f>
        <v>-</v>
      </c>
      <c r="F237" s="255" t="str">
        <f t="shared" ref="F237:L237" si="18">IF(F235=0,"-",F236/F235)</f>
        <v>-</v>
      </c>
      <c r="G237" s="255" t="str">
        <f t="shared" si="18"/>
        <v>-</v>
      </c>
      <c r="H237" s="255" t="str">
        <f t="shared" si="18"/>
        <v>-</v>
      </c>
      <c r="I237" s="255" t="str">
        <f t="shared" si="18"/>
        <v>-</v>
      </c>
      <c r="J237" s="255" t="str">
        <f t="shared" si="18"/>
        <v>-</v>
      </c>
      <c r="K237" s="255" t="str">
        <f t="shared" si="18"/>
        <v>-</v>
      </c>
      <c r="L237" s="256" t="str">
        <f t="shared" si="18"/>
        <v>-</v>
      </c>
      <c r="M237" s="2"/>
    </row>
    <row r="238" spans="2:16" x14ac:dyDescent="0.35">
      <c r="B238" s="815" t="str">
        <f>IF(Intro!$G$21="English",O238,P238)</f>
        <v xml:space="preserve">Client 3 - </v>
      </c>
      <c r="C238" s="720"/>
      <c r="D238" s="720"/>
      <c r="E238" s="720"/>
      <c r="F238" s="720"/>
      <c r="G238" s="720"/>
      <c r="H238" s="720"/>
      <c r="I238" s="720"/>
      <c r="J238" s="720"/>
      <c r="K238" s="720"/>
      <c r="L238" s="721"/>
      <c r="M238" s="2"/>
      <c r="O238" s="2" t="str">
        <f>"Account 3 - "&amp;$C221</f>
        <v xml:space="preserve">Account 3 - </v>
      </c>
      <c r="P238" s="2" t="str">
        <f>"Client 3 - "&amp;$C221</f>
        <v xml:space="preserve">Client 3 - </v>
      </c>
    </row>
    <row r="239" spans="2:16" x14ac:dyDescent="0.35">
      <c r="B239" s="813" t="str">
        <f>IF(Intro!$G$21="English",Variables!$B$23,Variables!$C$23)</f>
        <v>mètres</v>
      </c>
      <c r="C239" s="814"/>
      <c r="D239" s="814"/>
      <c r="E239" s="245"/>
      <c r="F239" s="245"/>
      <c r="G239" s="245"/>
      <c r="H239" s="245"/>
      <c r="I239" s="245"/>
      <c r="J239" s="245"/>
      <c r="K239" s="245"/>
      <c r="L239" s="254"/>
      <c r="M239" s="2"/>
    </row>
    <row r="240" spans="2:16" x14ac:dyDescent="0.35">
      <c r="B240" s="813" t="str">
        <f>IF(Intro!G$21="English","net delivered selling value (CAD)","valeur de vente nette rendue (CAD)")</f>
        <v>valeur de vente nette rendue (CAD)</v>
      </c>
      <c r="C240" s="819"/>
      <c r="D240" s="819"/>
      <c r="E240" s="245"/>
      <c r="F240" s="245"/>
      <c r="G240" s="245"/>
      <c r="H240" s="245"/>
      <c r="I240" s="245"/>
      <c r="J240" s="245"/>
      <c r="K240" s="245"/>
      <c r="L240" s="254"/>
      <c r="M240" s="2"/>
    </row>
    <row r="241" spans="2:19" x14ac:dyDescent="0.35">
      <c r="B241" s="813" t="str">
        <f>"$ / "&amp;IF(Intro!$G$21="English",Variables!$B$24,Variables!$C$24)</f>
        <v>$ / mètre</v>
      </c>
      <c r="C241" s="819"/>
      <c r="D241" s="819"/>
      <c r="E241" s="255" t="str">
        <f>IF(E239=0,"-",E240/E239)</f>
        <v>-</v>
      </c>
      <c r="F241" s="255" t="str">
        <f t="shared" ref="F241:L241" si="19">IF(F239=0,"-",F240/F239)</f>
        <v>-</v>
      </c>
      <c r="G241" s="255" t="str">
        <f t="shared" si="19"/>
        <v>-</v>
      </c>
      <c r="H241" s="255" t="str">
        <f t="shared" si="19"/>
        <v>-</v>
      </c>
      <c r="I241" s="255" t="str">
        <f t="shared" si="19"/>
        <v>-</v>
      </c>
      <c r="J241" s="255" t="str">
        <f t="shared" si="19"/>
        <v>-</v>
      </c>
      <c r="K241" s="255" t="str">
        <f t="shared" si="19"/>
        <v>-</v>
      </c>
      <c r="L241" s="256" t="str">
        <f t="shared" si="19"/>
        <v>-</v>
      </c>
      <c r="M241" s="2"/>
    </row>
    <row r="242" spans="2:19" x14ac:dyDescent="0.35">
      <c r="B242" s="815" t="str">
        <f>IF(Intro!$G$21="English",O242,P242)</f>
        <v xml:space="preserve">Client 4 - </v>
      </c>
      <c r="C242" s="720"/>
      <c r="D242" s="720"/>
      <c r="E242" s="720"/>
      <c r="F242" s="720"/>
      <c r="G242" s="720"/>
      <c r="H242" s="720"/>
      <c r="I242" s="720"/>
      <c r="J242" s="720"/>
      <c r="K242" s="720"/>
      <c r="L242" s="721"/>
      <c r="M242" s="2"/>
      <c r="O242" s="2" t="str">
        <f>"Account 4 - "&amp;$C222</f>
        <v xml:space="preserve">Account 4 - </v>
      </c>
      <c r="P242" s="2" t="str">
        <f>"Client 4 - "&amp;$C222</f>
        <v xml:space="preserve">Client 4 - </v>
      </c>
    </row>
    <row r="243" spans="2:19" x14ac:dyDescent="0.35">
      <c r="B243" s="813" t="str">
        <f>IF(Intro!$G$21="English",Variables!$B$23,Variables!$C$23)</f>
        <v>mètres</v>
      </c>
      <c r="C243" s="814"/>
      <c r="D243" s="814"/>
      <c r="E243" s="245"/>
      <c r="F243" s="245"/>
      <c r="G243" s="245"/>
      <c r="H243" s="245"/>
      <c r="I243" s="245"/>
      <c r="J243" s="245"/>
      <c r="K243" s="245"/>
      <c r="L243" s="254"/>
      <c r="M243" s="2"/>
    </row>
    <row r="244" spans="2:19" x14ac:dyDescent="0.35">
      <c r="B244" s="813" t="str">
        <f>IF(Intro!G$21="English","net delivered selling value (CAD)","valeur de vente nette rendue (CAD)")</f>
        <v>valeur de vente nette rendue (CAD)</v>
      </c>
      <c r="C244" s="819"/>
      <c r="D244" s="819"/>
      <c r="E244" s="245"/>
      <c r="F244" s="245"/>
      <c r="G244" s="245"/>
      <c r="H244" s="245"/>
      <c r="I244" s="245"/>
      <c r="J244" s="245"/>
      <c r="K244" s="245"/>
      <c r="L244" s="254"/>
      <c r="M244" s="2"/>
    </row>
    <row r="245" spans="2:19" x14ac:dyDescent="0.35">
      <c r="B245" s="813" t="str">
        <f>"$ / "&amp;IF(Intro!$G$21="English",Variables!$B$24,Variables!$C$24)</f>
        <v>$ / mètre</v>
      </c>
      <c r="C245" s="819"/>
      <c r="D245" s="819"/>
      <c r="E245" s="255" t="str">
        <f>IF(E243=0,"-",E244/E243)</f>
        <v>-</v>
      </c>
      <c r="F245" s="255" t="str">
        <f t="shared" ref="F245:L245" si="20">IF(F243=0,"-",F244/F243)</f>
        <v>-</v>
      </c>
      <c r="G245" s="255" t="str">
        <f t="shared" si="20"/>
        <v>-</v>
      </c>
      <c r="H245" s="255" t="str">
        <f t="shared" si="20"/>
        <v>-</v>
      </c>
      <c r="I245" s="255" t="str">
        <f t="shared" si="20"/>
        <v>-</v>
      </c>
      <c r="J245" s="255" t="str">
        <f t="shared" si="20"/>
        <v>-</v>
      </c>
      <c r="K245" s="255" t="str">
        <f t="shared" si="20"/>
        <v>-</v>
      </c>
      <c r="L245" s="256" t="str">
        <f t="shared" si="20"/>
        <v>-</v>
      </c>
      <c r="M245" s="2"/>
    </row>
    <row r="246" spans="2:19" x14ac:dyDescent="0.35">
      <c r="B246" s="815" t="str">
        <f>IF(Intro!$G$21="English",O246,P246)</f>
        <v xml:space="preserve">Client 5 - </v>
      </c>
      <c r="C246" s="720"/>
      <c r="D246" s="720"/>
      <c r="E246" s="720"/>
      <c r="F246" s="720"/>
      <c r="G246" s="720"/>
      <c r="H246" s="720"/>
      <c r="I246" s="720"/>
      <c r="J246" s="720"/>
      <c r="K246" s="720"/>
      <c r="L246" s="721"/>
      <c r="M246" s="2"/>
      <c r="O246" s="2" t="str">
        <f>"Account 5 - "&amp;$C223</f>
        <v xml:space="preserve">Account 5 - </v>
      </c>
      <c r="P246" s="2" t="str">
        <f>"Client 5 - "&amp;$C223</f>
        <v xml:space="preserve">Client 5 - </v>
      </c>
    </row>
    <row r="247" spans="2:19" x14ac:dyDescent="0.35">
      <c r="B247" s="813" t="str">
        <f>IF(Intro!$G$21="English",Variables!$B$23,Variables!$C$23)</f>
        <v>mètres</v>
      </c>
      <c r="C247" s="814"/>
      <c r="D247" s="814"/>
      <c r="E247" s="245"/>
      <c r="F247" s="245"/>
      <c r="G247" s="245"/>
      <c r="H247" s="245"/>
      <c r="I247" s="245"/>
      <c r="J247" s="245"/>
      <c r="K247" s="245"/>
      <c r="L247" s="254"/>
      <c r="M247" s="2"/>
    </row>
    <row r="248" spans="2:19" x14ac:dyDescent="0.35">
      <c r="B248" s="813" t="str">
        <f>IF(Intro!G$21="English","net delivered selling value (CAD)","valeur de vente nette rendue (CAD)")</f>
        <v>valeur de vente nette rendue (CAD)</v>
      </c>
      <c r="C248" s="819"/>
      <c r="D248" s="819"/>
      <c r="E248" s="245"/>
      <c r="F248" s="245"/>
      <c r="G248" s="245"/>
      <c r="H248" s="245"/>
      <c r="I248" s="245"/>
      <c r="J248" s="245"/>
      <c r="K248" s="245"/>
      <c r="L248" s="254"/>
      <c r="M248" s="2"/>
    </row>
    <row r="249" spans="2:19" x14ac:dyDescent="0.35">
      <c r="B249" s="813" t="str">
        <f>"$ / "&amp;IF(Intro!$G$21="English",Variables!$B$24,Variables!$C$24)</f>
        <v>$ / mètre</v>
      </c>
      <c r="C249" s="819"/>
      <c r="D249" s="819"/>
      <c r="E249" s="255" t="str">
        <f>IF(E247=0,"-",E248/E247)</f>
        <v>-</v>
      </c>
      <c r="F249" s="255" t="str">
        <f t="shared" ref="F249:L249" si="21">IF(F247=0,"-",F248/F247)</f>
        <v>-</v>
      </c>
      <c r="G249" s="255" t="str">
        <f t="shared" si="21"/>
        <v>-</v>
      </c>
      <c r="H249" s="255" t="str">
        <f t="shared" si="21"/>
        <v>-</v>
      </c>
      <c r="I249" s="255" t="str">
        <f t="shared" si="21"/>
        <v>-</v>
      </c>
      <c r="J249" s="255" t="str">
        <f t="shared" si="21"/>
        <v>-</v>
      </c>
      <c r="K249" s="255" t="str">
        <f t="shared" si="21"/>
        <v>-</v>
      </c>
      <c r="L249" s="256" t="str">
        <f t="shared" si="21"/>
        <v>-</v>
      </c>
      <c r="M249" s="2"/>
    </row>
    <row r="250" spans="2:19" x14ac:dyDescent="0.35">
      <c r="B250" s="159"/>
      <c r="C250" s="160"/>
      <c r="D250" s="160"/>
      <c r="E250" s="29"/>
      <c r="F250" s="29"/>
      <c r="G250" s="29"/>
      <c r="H250" s="29"/>
      <c r="I250" s="29"/>
      <c r="J250" s="29"/>
      <c r="K250" s="29"/>
      <c r="L250" s="30"/>
      <c r="M250" s="2"/>
    </row>
    <row r="251" spans="2:19" x14ac:dyDescent="0.35">
      <c r="B251" s="602" t="str">
        <f>IF(Intro!$G$21="English",O251,P251)</f>
        <v>Dans le tableau ci-dessous, « Erreur » signifie que le total des ventes des cinq principaux clients de votre entreprise pour cette période dépasse le total des ventes nationales de votre entreprise pour cette période. Par conséquent, veuillez modifier les données ci-dessus.</v>
      </c>
      <c r="C251" s="603"/>
      <c r="D251" s="603"/>
      <c r="E251" s="603"/>
      <c r="F251" s="603"/>
      <c r="G251" s="603"/>
      <c r="H251" s="603"/>
      <c r="I251" s="603"/>
      <c r="J251" s="603"/>
      <c r="K251" s="603"/>
      <c r="L251" s="604"/>
      <c r="M251" s="2"/>
      <c r="O251" s="2" t="s">
        <v>413</v>
      </c>
      <c r="P251" s="2" t="s">
        <v>592</v>
      </c>
      <c r="Q251" s="152"/>
      <c r="R251" s="152"/>
      <c r="S251" s="152"/>
    </row>
    <row r="252" spans="2:19" x14ac:dyDescent="0.35">
      <c r="B252" s="602"/>
      <c r="C252" s="603"/>
      <c r="D252" s="603"/>
      <c r="E252" s="603"/>
      <c r="F252" s="603"/>
      <c r="G252" s="603"/>
      <c r="H252" s="603"/>
      <c r="I252" s="603"/>
      <c r="J252" s="603"/>
      <c r="K252" s="603"/>
      <c r="L252" s="604"/>
      <c r="M252" s="2"/>
      <c r="Q252" s="152"/>
      <c r="R252" s="152"/>
      <c r="S252" s="152"/>
    </row>
    <row r="253" spans="2:19" x14ac:dyDescent="0.35">
      <c r="B253" s="159"/>
      <c r="C253" s="160"/>
      <c r="D253" s="160"/>
      <c r="E253" s="29"/>
      <c r="F253" s="29"/>
      <c r="G253" s="29"/>
      <c r="H253" s="29"/>
      <c r="I253" s="29"/>
      <c r="J253" s="29"/>
      <c r="K253" s="29"/>
      <c r="L253" s="30"/>
      <c r="M253" s="2"/>
      <c r="Q253" s="152"/>
      <c r="R253" s="152"/>
      <c r="S253" s="152"/>
    </row>
    <row r="254" spans="2:19" x14ac:dyDescent="0.35">
      <c r="B254" s="786" t="str">
        <f>IF(Intro!$G$21="English",O255,P255)</f>
        <v>Vérification - volume</v>
      </c>
      <c r="C254" s="787"/>
      <c r="D254" s="787"/>
      <c r="E254" s="788"/>
      <c r="F254" s="261" t="str">
        <f>IF(Intro!$G$21="English",O254,P254)</f>
        <v>T2-T4 2024</v>
      </c>
      <c r="G254" s="261">
        <f>I204</f>
        <v>2025</v>
      </c>
      <c r="H254" s="261" t="str">
        <f>L229</f>
        <v>T1 - 2026</v>
      </c>
      <c r="I254" s="152"/>
      <c r="J254" s="29"/>
      <c r="K254" s="29"/>
      <c r="L254" s="30"/>
      <c r="M254" s="2"/>
      <c r="O254" s="2" t="s">
        <v>846</v>
      </c>
      <c r="P254" s="2" t="s">
        <v>1038</v>
      </c>
    </row>
    <row r="255" spans="2:19" x14ac:dyDescent="0.35">
      <c r="B255" s="789" t="str">
        <f>IF(Intro!$G$21="English",Variables!$B$23,Variables!$C$23)</f>
        <v>mètres</v>
      </c>
      <c r="C255" s="790"/>
      <c r="D255" s="790"/>
      <c r="E255" s="791"/>
      <c r="F255" s="260" t="str">
        <f>IF(SUM(E231:G231,E235:G235,E239:G239,E243:G243,E247:G247)&gt;SUM(H28,H31),Variables!D62,Variables!D63)</f>
        <v>Correct</v>
      </c>
      <c r="G255" s="260" t="str">
        <f>IF(SUM(H231:K231,H235:K235,H239:K239,H243:K243,H247:K247)&gt;SUM(I28,I31),Variables!D62,Variables!D63)</f>
        <v>Correct</v>
      </c>
      <c r="H255" s="260" t="str">
        <f>IF(SUM(L231,L235,L239,L243,L247)&gt;SUM(K28,K31),Variables!D62,Variables!D63)</f>
        <v>Correct</v>
      </c>
      <c r="I255" s="152"/>
      <c r="J255" s="29"/>
      <c r="K255" s="29"/>
      <c r="L255" s="30"/>
      <c r="M255" s="2"/>
      <c r="O255" s="2" t="s">
        <v>731</v>
      </c>
      <c r="P255" s="2" t="s">
        <v>732</v>
      </c>
    </row>
    <row r="256" spans="2:19" x14ac:dyDescent="0.35">
      <c r="B256" s="792" t="str">
        <f>IF(Intro!$G$21="English",O256,P256)</f>
        <v>volume - total des ventes au Canada de la production nationale aux cinq principaux clients (Question 14)</v>
      </c>
      <c r="C256" s="793"/>
      <c r="D256" s="793"/>
      <c r="E256" s="794"/>
      <c r="F256" s="818">
        <f>SUM(E231:G231,E235:G235,E239:G239,E243:G243,E247:G247)</f>
        <v>0</v>
      </c>
      <c r="G256" s="818">
        <f>SUM(H231:K231,H235:K235,H239:K239,H243:K243,H247:K247)</f>
        <v>0</v>
      </c>
      <c r="H256" s="818">
        <f>SUM(L231,L235,L239,L243,L247)</f>
        <v>0</v>
      </c>
      <c r="I256" s="152"/>
      <c r="J256" s="29"/>
      <c r="K256" s="29"/>
      <c r="L256" s="30"/>
      <c r="M256" s="2"/>
      <c r="O256" s="2" t="s">
        <v>735</v>
      </c>
      <c r="P256" s="2" t="s">
        <v>744</v>
      </c>
    </row>
    <row r="257" spans="1:16" x14ac:dyDescent="0.35">
      <c r="B257" s="795"/>
      <c r="C257" s="796"/>
      <c r="D257" s="796"/>
      <c r="E257" s="797"/>
      <c r="F257" s="818"/>
      <c r="G257" s="818"/>
      <c r="H257" s="818"/>
      <c r="I257" s="152"/>
      <c r="J257" s="29"/>
      <c r="K257" s="29"/>
      <c r="L257" s="30"/>
      <c r="M257" s="2"/>
    </row>
    <row r="258" spans="1:16" x14ac:dyDescent="0.35">
      <c r="B258" s="798" t="str">
        <f>IF(Intro!$G$21="English",O258,P258)</f>
        <v>volume - total des ventes au Canada de la production nationale (Question 1)</v>
      </c>
      <c r="C258" s="799"/>
      <c r="D258" s="799"/>
      <c r="E258" s="800"/>
      <c r="F258" s="818">
        <f>SUM(H28,H31)</f>
        <v>0</v>
      </c>
      <c r="G258" s="818">
        <f>SUM(I28,I31)</f>
        <v>0</v>
      </c>
      <c r="H258" s="818">
        <f>SUM(K28,K31)</f>
        <v>0</v>
      </c>
      <c r="I258" s="152"/>
      <c r="J258" s="29"/>
      <c r="K258" s="29"/>
      <c r="L258" s="30"/>
      <c r="M258" s="2"/>
      <c r="O258" s="2" t="s">
        <v>736</v>
      </c>
      <c r="P258" s="2" t="s">
        <v>745</v>
      </c>
    </row>
    <row r="259" spans="1:16" x14ac:dyDescent="0.35">
      <c r="B259" s="801"/>
      <c r="C259" s="802"/>
      <c r="D259" s="802"/>
      <c r="E259" s="803"/>
      <c r="F259" s="818"/>
      <c r="G259" s="818"/>
      <c r="H259" s="818"/>
      <c r="I259" s="152"/>
      <c r="J259" s="29"/>
      <c r="K259" s="29"/>
      <c r="L259" s="30"/>
      <c r="M259" s="2"/>
    </row>
    <row r="260" spans="1:16" x14ac:dyDescent="0.35">
      <c r="B260" s="783" t="str">
        <f>IF(Intro!$G$21="English",O261,P261)</f>
        <v>Vérification - valeur</v>
      </c>
      <c r="C260" s="784"/>
      <c r="D260" s="784"/>
      <c r="E260" s="785"/>
      <c r="F260" s="208" t="str">
        <f>F254</f>
        <v>T2-T4 2024</v>
      </c>
      <c r="G260" s="208">
        <f t="shared" ref="G260:H260" si="22">G254</f>
        <v>2025</v>
      </c>
      <c r="H260" s="208" t="str">
        <f t="shared" si="22"/>
        <v>T1 - 2026</v>
      </c>
      <c r="I260" s="152"/>
      <c r="J260" s="29"/>
      <c r="K260" s="29"/>
      <c r="L260" s="30"/>
      <c r="M260" s="2"/>
    </row>
    <row r="261" spans="1:16" x14ac:dyDescent="0.35">
      <c r="B261" s="789" t="str">
        <f>IF(Intro!G$21="English","net delivered selling value (CAD)","valeur de vente nette rendue (CAD)")</f>
        <v>valeur de vente nette rendue (CAD)</v>
      </c>
      <c r="C261" s="790"/>
      <c r="D261" s="790"/>
      <c r="E261" s="791"/>
      <c r="F261" s="260" t="str">
        <f>IF(SUM(E232:G232,E236:G236,E240:G240,E244:G244,E248:G248)&gt;SUM(H29,H32),Variables!D66,Variables!D67)</f>
        <v>Correct</v>
      </c>
      <c r="G261" s="260" t="str">
        <f>IF(SUM(H232:K232,H236:K236,H240:K240,H244:K244,H248:K248)&gt;SUM(I29,I32),Variables!D66,Variables!D67)</f>
        <v>Correct</v>
      </c>
      <c r="H261" s="260" t="str">
        <f>IF(SUM(L232,L236,L240,L244,L248)&gt;SUM(K29,K32),Variables!D66,Variables!D67)</f>
        <v>Correct</v>
      </c>
      <c r="I261" s="152"/>
      <c r="J261" s="29"/>
      <c r="K261" s="29"/>
      <c r="L261" s="30"/>
      <c r="M261" s="2"/>
      <c r="O261" s="2" t="s">
        <v>733</v>
      </c>
      <c r="P261" s="2" t="s">
        <v>734</v>
      </c>
    </row>
    <row r="262" spans="1:16" x14ac:dyDescent="0.35">
      <c r="B262" s="792" t="str">
        <f>IF(Intro!$G$21="English",O262,P262)</f>
        <v>valeur - total des ventes au Canada de la production nationale aux cinq principaux clients (Question 14)</v>
      </c>
      <c r="C262" s="793"/>
      <c r="D262" s="793"/>
      <c r="E262" s="794"/>
      <c r="F262" s="818">
        <f>SUM(E232:G232,E236:G236,E240:G240,E244:G244,E248:G248)</f>
        <v>0</v>
      </c>
      <c r="G262" s="818">
        <f>SUM(H232:K232,H236:K236,H240:K240,H244:K244,H248:K248)</f>
        <v>0</v>
      </c>
      <c r="H262" s="818">
        <f>SUM(L232,L236,L240,L244,L248)</f>
        <v>0</v>
      </c>
      <c r="I262" s="152"/>
      <c r="J262" s="29"/>
      <c r="K262" s="29"/>
      <c r="L262" s="30"/>
      <c r="M262" s="2"/>
      <c r="O262" s="2" t="s">
        <v>743</v>
      </c>
      <c r="P262" s="2" t="s">
        <v>747</v>
      </c>
    </row>
    <row r="263" spans="1:16" x14ac:dyDescent="0.35">
      <c r="B263" s="795"/>
      <c r="C263" s="796"/>
      <c r="D263" s="796"/>
      <c r="E263" s="797"/>
      <c r="F263" s="818"/>
      <c r="G263" s="818"/>
      <c r="H263" s="818"/>
      <c r="I263" s="152"/>
      <c r="J263" s="29"/>
      <c r="K263" s="29"/>
      <c r="L263" s="30"/>
      <c r="M263" s="2"/>
    </row>
    <row r="264" spans="1:16" x14ac:dyDescent="0.35">
      <c r="B264" s="798" t="str">
        <f>IF(Intro!$G$21="English",O264,P264)</f>
        <v>valeur - total des ventes au Canada de la production nationale (Question 1)</v>
      </c>
      <c r="C264" s="799"/>
      <c r="D264" s="799"/>
      <c r="E264" s="800"/>
      <c r="F264" s="818">
        <f>SUM(H29,H32)</f>
        <v>0</v>
      </c>
      <c r="G264" s="818">
        <f>SUM(I29,I32)</f>
        <v>0</v>
      </c>
      <c r="H264" s="818">
        <f>SUM(K29,K32)</f>
        <v>0</v>
      </c>
      <c r="I264" s="152"/>
      <c r="J264" s="29"/>
      <c r="K264" s="29"/>
      <c r="L264" s="30"/>
      <c r="M264" s="2"/>
      <c r="O264" s="2" t="s">
        <v>746</v>
      </c>
      <c r="P264" s="2" t="s">
        <v>748</v>
      </c>
    </row>
    <row r="265" spans="1:16" x14ac:dyDescent="0.35">
      <c r="B265" s="804"/>
      <c r="C265" s="805"/>
      <c r="D265" s="805"/>
      <c r="E265" s="806"/>
      <c r="F265" s="818"/>
      <c r="G265" s="818"/>
      <c r="H265" s="818"/>
      <c r="I265" s="152"/>
      <c r="J265" s="29"/>
      <c r="K265" s="29"/>
      <c r="L265" s="30"/>
      <c r="M265" s="2"/>
    </row>
    <row r="266" spans="1:16" x14ac:dyDescent="0.35">
      <c r="B266" s="175"/>
      <c r="C266" s="176"/>
      <c r="D266" s="176"/>
      <c r="E266" s="176"/>
      <c r="F266" s="176"/>
      <c r="G266" s="176"/>
      <c r="H266" s="176"/>
      <c r="I266" s="176"/>
      <c r="J266" s="176"/>
      <c r="K266" s="176"/>
      <c r="L266" s="177"/>
      <c r="M266" s="2"/>
    </row>
    <row r="267" spans="1:16" s="3" customFormat="1" x14ac:dyDescent="0.35">
      <c r="A267" s="12"/>
      <c r="B267" s="31"/>
      <c r="C267" s="31"/>
      <c r="D267" s="182"/>
      <c r="E267" s="183"/>
      <c r="F267" s="183"/>
      <c r="G267" s="183"/>
      <c r="H267" s="183"/>
      <c r="I267" s="183"/>
      <c r="J267" s="183"/>
      <c r="K267" s="183"/>
      <c r="L267" s="183"/>
      <c r="M267" s="167"/>
    </row>
    <row r="268" spans="1:16" x14ac:dyDescent="0.35">
      <c r="B268" s="599" t="str">
        <f>IF(Intro!$G$21="English",O268,P268)</f>
        <v>VENTES AU CANADA DE LA PRODUCTION NATIONALE DE PRODUITS DE RÉFÉRENCE</v>
      </c>
      <c r="C268" s="600"/>
      <c r="D268" s="600"/>
      <c r="E268" s="600"/>
      <c r="F268" s="600"/>
      <c r="G268" s="600"/>
      <c r="H268" s="600"/>
      <c r="I268" s="600"/>
      <c r="J268" s="600"/>
      <c r="K268" s="600"/>
      <c r="L268" s="601"/>
      <c r="M268" s="2"/>
      <c r="O268" s="2" t="s">
        <v>679</v>
      </c>
      <c r="P268" s="2" t="s">
        <v>680</v>
      </c>
    </row>
    <row r="269" spans="1:16" x14ac:dyDescent="0.35">
      <c r="B269" s="728" t="s">
        <v>292</v>
      </c>
      <c r="C269" s="729"/>
      <c r="D269" s="729"/>
      <c r="E269" s="729"/>
      <c r="F269" s="729"/>
      <c r="G269" s="729"/>
      <c r="H269" s="729"/>
      <c r="I269" s="729"/>
      <c r="J269" s="729"/>
      <c r="K269" s="729"/>
      <c r="L269" s="730"/>
      <c r="M269" s="2"/>
    </row>
    <row r="270" spans="1:16" x14ac:dyDescent="0.35">
      <c r="B270" s="24"/>
      <c r="C270" s="25"/>
      <c r="D270" s="25"/>
      <c r="E270" s="26"/>
      <c r="F270" s="26"/>
      <c r="G270" s="26"/>
      <c r="H270" s="26"/>
      <c r="I270" s="26"/>
      <c r="J270" s="26"/>
      <c r="K270" s="26"/>
      <c r="L270" s="27"/>
      <c r="M270" s="2"/>
    </row>
    <row r="271" spans="1:16" x14ac:dyDescent="0.35">
      <c r="B271" s="602" t="str">
        <f>IF(Intro!$G$21="English",O271,P271)</f>
        <v>Indiquez le volume et la valeur des ventes intérieures provenant de la production nationale pour chaque produit de référence :</v>
      </c>
      <c r="C271" s="603"/>
      <c r="D271" s="603"/>
      <c r="E271" s="603"/>
      <c r="F271" s="603"/>
      <c r="G271" s="603"/>
      <c r="H271" s="603"/>
      <c r="I271" s="603"/>
      <c r="J271" s="603"/>
      <c r="K271" s="603"/>
      <c r="L271" s="604"/>
      <c r="M271" s="2"/>
      <c r="O271" s="11" t="s">
        <v>416</v>
      </c>
      <c r="P271" s="2" t="s">
        <v>358</v>
      </c>
    </row>
    <row r="272" spans="1:16" x14ac:dyDescent="0.35">
      <c r="B272" s="159"/>
      <c r="C272" s="160"/>
      <c r="D272" s="25"/>
      <c r="E272" s="26"/>
      <c r="F272" s="26"/>
      <c r="G272" s="26"/>
      <c r="H272" s="26"/>
      <c r="I272" s="26"/>
      <c r="J272" s="26"/>
      <c r="K272" s="26"/>
      <c r="L272" s="27"/>
      <c r="M272" s="2"/>
      <c r="O272" s="11"/>
    </row>
    <row r="273" spans="2:16" x14ac:dyDescent="0.35">
      <c r="B273" s="209"/>
      <c r="C273" s="214"/>
      <c r="D273" s="215"/>
      <c r="E273" s="208" t="str">
        <f>E229</f>
        <v>T2 - 2024</v>
      </c>
      <c r="F273" s="208" t="str">
        <f t="shared" ref="F273:L273" si="23">F229</f>
        <v>T3 - 2024</v>
      </c>
      <c r="G273" s="208" t="str">
        <f t="shared" si="23"/>
        <v>T4 - 2024</v>
      </c>
      <c r="H273" s="208" t="str">
        <f t="shared" si="23"/>
        <v>T1 - 2025</v>
      </c>
      <c r="I273" s="208" t="str">
        <f t="shared" si="23"/>
        <v>T2 - 2025</v>
      </c>
      <c r="J273" s="208" t="str">
        <f t="shared" si="23"/>
        <v>T3 - 2025</v>
      </c>
      <c r="K273" s="208" t="str">
        <f t="shared" si="23"/>
        <v>T4 - 2025</v>
      </c>
      <c r="L273" s="212" t="str">
        <f t="shared" si="23"/>
        <v>T1 - 2026</v>
      </c>
      <c r="M273" s="2"/>
      <c r="O273" s="11"/>
    </row>
    <row r="274" spans="2:16" x14ac:dyDescent="0.35">
      <c r="B274" s="815" t="str">
        <f>IF(Intro!$G$21="English",O275,P275)</f>
        <v>N° 1 - NMD90 14/3</v>
      </c>
      <c r="C274" s="720"/>
      <c r="D274" s="720"/>
      <c r="E274" s="720"/>
      <c r="F274" s="720"/>
      <c r="G274" s="720"/>
      <c r="H274" s="720"/>
      <c r="I274" s="720"/>
      <c r="J274" s="720"/>
      <c r="K274" s="720"/>
      <c r="L274" s="721"/>
      <c r="M274" s="2"/>
      <c r="O274" s="11"/>
    </row>
    <row r="275" spans="2:16" x14ac:dyDescent="0.35">
      <c r="B275" s="813" t="str">
        <f>IF(Intro!$G$21="English",Variables!$B$23,Variables!$C$23)</f>
        <v>mètres</v>
      </c>
      <c r="C275" s="814"/>
      <c r="D275" s="814"/>
      <c r="E275" s="245"/>
      <c r="F275" s="245"/>
      <c r="G275" s="245"/>
      <c r="H275" s="245"/>
      <c r="I275" s="245"/>
      <c r="J275" s="245"/>
      <c r="K275" s="245"/>
      <c r="L275" s="254"/>
      <c r="M275" s="2"/>
      <c r="O275" s="2" t="str">
        <f>Variables!B29</f>
        <v>No. 1 - NMD90 14/3</v>
      </c>
      <c r="P275" s="2" t="str">
        <f>Variables!C29</f>
        <v>N° 1 - NMD90 14/3</v>
      </c>
    </row>
    <row r="276" spans="2:16" x14ac:dyDescent="0.35">
      <c r="B276" s="813" t="str">
        <f>IF(Intro!G$21="English","net delivered selling value (CAD)","valeur de vente nette rendue (CAD)")</f>
        <v>valeur de vente nette rendue (CAD)</v>
      </c>
      <c r="C276" s="814"/>
      <c r="D276" s="814"/>
      <c r="E276" s="245"/>
      <c r="F276" s="245"/>
      <c r="G276" s="245"/>
      <c r="H276" s="245"/>
      <c r="I276" s="245"/>
      <c r="J276" s="245"/>
      <c r="K276" s="245"/>
      <c r="L276" s="254"/>
      <c r="M276" s="2"/>
    </row>
    <row r="277" spans="2:16" x14ac:dyDescent="0.35">
      <c r="B277" s="813" t="str">
        <f>"$ / "&amp;IF(Intro!$G$21="English",Variables!$B$24,Variables!$C$24)</f>
        <v>$ / mètre</v>
      </c>
      <c r="C277" s="814"/>
      <c r="D277" s="814"/>
      <c r="E277" s="255" t="str">
        <f>IF(E275=0,"-",E276/E275)</f>
        <v>-</v>
      </c>
      <c r="F277" s="255" t="str">
        <f t="shared" ref="F277:L277" si="24">IF(F275=0,"-",F276/F275)</f>
        <v>-</v>
      </c>
      <c r="G277" s="255" t="str">
        <f t="shared" si="24"/>
        <v>-</v>
      </c>
      <c r="H277" s="255" t="str">
        <f t="shared" si="24"/>
        <v>-</v>
      </c>
      <c r="I277" s="255" t="str">
        <f t="shared" si="24"/>
        <v>-</v>
      </c>
      <c r="J277" s="255" t="str">
        <f t="shared" si="24"/>
        <v>-</v>
      </c>
      <c r="K277" s="255" t="str">
        <f t="shared" si="24"/>
        <v>-</v>
      </c>
      <c r="L277" s="256" t="str">
        <f t="shared" si="24"/>
        <v>-</v>
      </c>
      <c r="M277" s="2"/>
    </row>
    <row r="278" spans="2:16" x14ac:dyDescent="0.35">
      <c r="B278" s="815" t="str">
        <f>IF(Intro!$G$21="English",O279,P279)</f>
        <v>N° 2 - NMD90 14/2</v>
      </c>
      <c r="C278" s="720"/>
      <c r="D278" s="720"/>
      <c r="E278" s="720"/>
      <c r="F278" s="720"/>
      <c r="G278" s="720"/>
      <c r="H278" s="720"/>
      <c r="I278" s="720"/>
      <c r="J278" s="720"/>
      <c r="K278" s="720"/>
      <c r="L278" s="721"/>
      <c r="M278" s="2"/>
    </row>
    <row r="279" spans="2:16" x14ac:dyDescent="0.35">
      <c r="B279" s="813" t="str">
        <f>IF(Intro!$G$21="English",Variables!$B$23,Variables!$C$23)</f>
        <v>mètres</v>
      </c>
      <c r="C279" s="814"/>
      <c r="D279" s="814"/>
      <c r="E279" s="245"/>
      <c r="F279" s="245"/>
      <c r="G279" s="245"/>
      <c r="H279" s="245"/>
      <c r="I279" s="245"/>
      <c r="J279" s="245"/>
      <c r="K279" s="245"/>
      <c r="L279" s="254"/>
      <c r="M279" s="2"/>
      <c r="O279" s="2" t="str">
        <f>Variables!B30</f>
        <v>No. 2 - NMD90 14/2</v>
      </c>
      <c r="P279" s="2" t="str">
        <f>Variables!C30</f>
        <v>N° 2 - NMD90 14/2</v>
      </c>
    </row>
    <row r="280" spans="2:16" x14ac:dyDescent="0.35">
      <c r="B280" s="813" t="str">
        <f>IF(Intro!G$21="English","net delivered selling value (CAD)","valeur de vente nette rendue (CAD)")</f>
        <v>valeur de vente nette rendue (CAD)</v>
      </c>
      <c r="C280" s="814"/>
      <c r="D280" s="814"/>
      <c r="E280" s="245"/>
      <c r="F280" s="245"/>
      <c r="G280" s="245"/>
      <c r="H280" s="245"/>
      <c r="I280" s="245"/>
      <c r="J280" s="245"/>
      <c r="K280" s="245"/>
      <c r="L280" s="254"/>
      <c r="M280" s="2"/>
    </row>
    <row r="281" spans="2:16" x14ac:dyDescent="0.35">
      <c r="B281" s="813" t="str">
        <f>"$ / "&amp;IF(Intro!$G$21="English",Variables!$B$24,Variables!$C$24)</f>
        <v>$ / mètre</v>
      </c>
      <c r="C281" s="814"/>
      <c r="D281" s="814"/>
      <c r="E281" s="255" t="str">
        <f t="shared" ref="E281:L281" si="25">IF(E279=0,"-",E280/E279)</f>
        <v>-</v>
      </c>
      <c r="F281" s="255" t="str">
        <f t="shared" si="25"/>
        <v>-</v>
      </c>
      <c r="G281" s="255" t="str">
        <f t="shared" si="25"/>
        <v>-</v>
      </c>
      <c r="H281" s="255" t="str">
        <f t="shared" si="25"/>
        <v>-</v>
      </c>
      <c r="I281" s="255" t="str">
        <f t="shared" si="25"/>
        <v>-</v>
      </c>
      <c r="J281" s="255" t="str">
        <f t="shared" si="25"/>
        <v>-</v>
      </c>
      <c r="K281" s="255" t="str">
        <f t="shared" si="25"/>
        <v>-</v>
      </c>
      <c r="L281" s="256" t="str">
        <f t="shared" si="25"/>
        <v>-</v>
      </c>
      <c r="M281" s="2"/>
    </row>
    <row r="282" spans="2:16" x14ac:dyDescent="0.35">
      <c r="B282" s="815" t="str">
        <f>IF(Intro!$G$21="English",O283,P283)</f>
        <v>N° 3 - NMD90 12/2</v>
      </c>
      <c r="C282" s="720"/>
      <c r="D282" s="720"/>
      <c r="E282" s="720"/>
      <c r="F282" s="720"/>
      <c r="G282" s="720"/>
      <c r="H282" s="720"/>
      <c r="I282" s="720"/>
      <c r="J282" s="720"/>
      <c r="K282" s="720"/>
      <c r="L282" s="721"/>
      <c r="M282" s="2"/>
    </row>
    <row r="283" spans="2:16" x14ac:dyDescent="0.35">
      <c r="B283" s="813" t="str">
        <f>IF(Intro!$G$21="English",Variables!$B$23,Variables!$C$23)</f>
        <v>mètres</v>
      </c>
      <c r="C283" s="814"/>
      <c r="D283" s="814"/>
      <c r="E283" s="245"/>
      <c r="F283" s="245"/>
      <c r="G283" s="245"/>
      <c r="H283" s="245"/>
      <c r="I283" s="245"/>
      <c r="J283" s="245"/>
      <c r="K283" s="245"/>
      <c r="L283" s="254"/>
      <c r="M283" s="2"/>
      <c r="O283" s="2" t="str">
        <f>Variables!B31</f>
        <v>No. 3 - NMD90 12/2</v>
      </c>
      <c r="P283" s="2" t="str">
        <f>Variables!C31</f>
        <v>N° 3 - NMD90 12/2</v>
      </c>
    </row>
    <row r="284" spans="2:16" x14ac:dyDescent="0.35">
      <c r="B284" s="813" t="str">
        <f>IF(Intro!G$21="English","net delivered selling value (CAD)","valeur de vente nette rendue (CAD)")</f>
        <v>valeur de vente nette rendue (CAD)</v>
      </c>
      <c r="C284" s="814"/>
      <c r="D284" s="814"/>
      <c r="E284" s="245"/>
      <c r="F284" s="245"/>
      <c r="G284" s="245"/>
      <c r="H284" s="245"/>
      <c r="I284" s="245"/>
      <c r="J284" s="245"/>
      <c r="K284" s="245"/>
      <c r="L284" s="254"/>
      <c r="M284" s="2"/>
    </row>
    <row r="285" spans="2:16" x14ac:dyDescent="0.35">
      <c r="B285" s="813" t="str">
        <f>"$ / "&amp;IF(Intro!$G$21="English",Variables!$B$24,Variables!$C$24)</f>
        <v>$ / mètre</v>
      </c>
      <c r="C285" s="814"/>
      <c r="D285" s="814"/>
      <c r="E285" s="255" t="str">
        <f t="shared" ref="E285:L285" si="26">IF(E283=0,"-",E284/E283)</f>
        <v>-</v>
      </c>
      <c r="F285" s="255" t="str">
        <f t="shared" si="26"/>
        <v>-</v>
      </c>
      <c r="G285" s="255" t="str">
        <f t="shared" si="26"/>
        <v>-</v>
      </c>
      <c r="H285" s="255" t="str">
        <f t="shared" si="26"/>
        <v>-</v>
      </c>
      <c r="I285" s="255" t="str">
        <f t="shared" si="26"/>
        <v>-</v>
      </c>
      <c r="J285" s="255" t="str">
        <f t="shared" si="26"/>
        <v>-</v>
      </c>
      <c r="K285" s="255" t="str">
        <f t="shared" si="26"/>
        <v>-</v>
      </c>
      <c r="L285" s="256" t="str">
        <f t="shared" si="26"/>
        <v>-</v>
      </c>
      <c r="M285" s="2"/>
    </row>
    <row r="286" spans="2:16" x14ac:dyDescent="0.35">
      <c r="B286" s="815" t="str">
        <f>IF(Intro!$G$21="English",O287,P287)</f>
        <v>N° 4 - NMD90 10/3</v>
      </c>
      <c r="C286" s="720"/>
      <c r="D286" s="720"/>
      <c r="E286" s="720"/>
      <c r="F286" s="720"/>
      <c r="G286" s="720"/>
      <c r="H286" s="720"/>
      <c r="I286" s="720"/>
      <c r="J286" s="720"/>
      <c r="K286" s="720"/>
      <c r="L286" s="721"/>
      <c r="M286" s="2"/>
    </row>
    <row r="287" spans="2:16" x14ac:dyDescent="0.35">
      <c r="B287" s="813" t="str">
        <f>IF(Intro!$G$21="English",Variables!$B$23,Variables!$C$23)</f>
        <v>mètres</v>
      </c>
      <c r="C287" s="814"/>
      <c r="D287" s="814"/>
      <c r="E287" s="245"/>
      <c r="F287" s="245"/>
      <c r="G287" s="245"/>
      <c r="H287" s="245"/>
      <c r="I287" s="245"/>
      <c r="J287" s="245"/>
      <c r="K287" s="245"/>
      <c r="L287" s="254"/>
      <c r="M287" s="2"/>
      <c r="O287" s="2" t="str">
        <f>Variables!B32</f>
        <v>No. 4 - NMD90 10/3</v>
      </c>
      <c r="P287" s="2" t="str">
        <f>Variables!C32</f>
        <v>N° 4 - NMD90 10/3</v>
      </c>
    </row>
    <row r="288" spans="2:16" x14ac:dyDescent="0.35">
      <c r="B288" s="813" t="str">
        <f>IF(Intro!G$21="English","net delivered selling value (CAD)","valeur de vente nette rendue (CAD)")</f>
        <v>valeur de vente nette rendue (CAD)</v>
      </c>
      <c r="C288" s="814"/>
      <c r="D288" s="814"/>
      <c r="E288" s="245"/>
      <c r="F288" s="245"/>
      <c r="G288" s="245"/>
      <c r="H288" s="245"/>
      <c r="I288" s="245"/>
      <c r="J288" s="245"/>
      <c r="K288" s="245"/>
      <c r="L288" s="254"/>
      <c r="M288" s="2"/>
    </row>
    <row r="289" spans="2:19" x14ac:dyDescent="0.35">
      <c r="B289" s="813" t="str">
        <f>"$ / "&amp;IF(Intro!$G$21="English",Variables!$B$24,Variables!$C$24)</f>
        <v>$ / mètre</v>
      </c>
      <c r="C289" s="814"/>
      <c r="D289" s="814"/>
      <c r="E289" s="255" t="str">
        <f t="shared" ref="E289:L289" si="27">IF(E287=0,"-",E288/E287)</f>
        <v>-</v>
      </c>
      <c r="F289" s="255" t="str">
        <f t="shared" si="27"/>
        <v>-</v>
      </c>
      <c r="G289" s="255" t="str">
        <f t="shared" si="27"/>
        <v>-</v>
      </c>
      <c r="H289" s="255" t="str">
        <f t="shared" si="27"/>
        <v>-</v>
      </c>
      <c r="I289" s="255" t="str">
        <f t="shared" si="27"/>
        <v>-</v>
      </c>
      <c r="J289" s="255" t="str">
        <f t="shared" si="27"/>
        <v>-</v>
      </c>
      <c r="K289" s="255" t="str">
        <f t="shared" si="27"/>
        <v>-</v>
      </c>
      <c r="L289" s="256" t="str">
        <f t="shared" si="27"/>
        <v>-</v>
      </c>
      <c r="M289" s="2"/>
    </row>
    <row r="290" spans="2:19" x14ac:dyDescent="0.35">
      <c r="B290" s="815" t="str">
        <f>IF(Intro!$G$21="English",O291,P291)</f>
        <v>N° 5 - NMD90 8/3</v>
      </c>
      <c r="C290" s="720"/>
      <c r="D290" s="720"/>
      <c r="E290" s="720"/>
      <c r="F290" s="720"/>
      <c r="G290" s="720"/>
      <c r="H290" s="720"/>
      <c r="I290" s="720"/>
      <c r="J290" s="720"/>
      <c r="K290" s="720"/>
      <c r="L290" s="721"/>
      <c r="M290" s="2"/>
    </row>
    <row r="291" spans="2:19" x14ac:dyDescent="0.35">
      <c r="B291" s="813" t="str">
        <f>IF(Intro!$G$21="English",Variables!$B$23,Variables!$C$23)</f>
        <v>mètres</v>
      </c>
      <c r="C291" s="814"/>
      <c r="D291" s="814"/>
      <c r="E291" s="245"/>
      <c r="F291" s="245"/>
      <c r="G291" s="245"/>
      <c r="H291" s="245"/>
      <c r="I291" s="245"/>
      <c r="J291" s="245"/>
      <c r="K291" s="245"/>
      <c r="L291" s="254"/>
      <c r="M291" s="2"/>
      <c r="O291" s="2" t="str">
        <f>Variables!B33</f>
        <v>No. 5 - NMD90 8/3</v>
      </c>
      <c r="P291" s="2" t="str">
        <f>Variables!C33</f>
        <v>N° 5 - NMD90 8/3</v>
      </c>
    </row>
    <row r="292" spans="2:19" x14ac:dyDescent="0.35">
      <c r="B292" s="813" t="str">
        <f>IF(Intro!G$21="English","net delivered selling value (CAD)","valeur de vente nette rendue (CAD)")</f>
        <v>valeur de vente nette rendue (CAD)</v>
      </c>
      <c r="C292" s="814"/>
      <c r="D292" s="814"/>
      <c r="E292" s="245"/>
      <c r="F292" s="245"/>
      <c r="G292" s="245"/>
      <c r="H292" s="245"/>
      <c r="I292" s="245"/>
      <c r="J292" s="245"/>
      <c r="K292" s="245"/>
      <c r="L292" s="254"/>
      <c r="M292" s="2"/>
    </row>
    <row r="293" spans="2:19" x14ac:dyDescent="0.35">
      <c r="B293" s="813" t="str">
        <f>"$ / "&amp;IF(Intro!$G$21="English",Variables!$B$24,Variables!$C$24)</f>
        <v>$ / mètre</v>
      </c>
      <c r="C293" s="814"/>
      <c r="D293" s="814"/>
      <c r="E293" s="255" t="str">
        <f t="shared" ref="E293:L293" si="28">IF(E291=0,"-",E292/E291)</f>
        <v>-</v>
      </c>
      <c r="F293" s="255" t="str">
        <f t="shared" si="28"/>
        <v>-</v>
      </c>
      <c r="G293" s="255" t="str">
        <f t="shared" si="28"/>
        <v>-</v>
      </c>
      <c r="H293" s="255" t="str">
        <f t="shared" si="28"/>
        <v>-</v>
      </c>
      <c r="I293" s="255" t="str">
        <f t="shared" si="28"/>
        <v>-</v>
      </c>
      <c r="J293" s="255" t="str">
        <f t="shared" si="28"/>
        <v>-</v>
      </c>
      <c r="K293" s="255" t="str">
        <f t="shared" si="28"/>
        <v>-</v>
      </c>
      <c r="L293" s="256" t="str">
        <f t="shared" si="28"/>
        <v>-</v>
      </c>
      <c r="M293" s="2"/>
    </row>
    <row r="294" spans="2:19" x14ac:dyDescent="0.35">
      <c r="B294" s="815" t="str">
        <f>IF(Intro!$G$21="English",O295,P295)</f>
        <v>N° 6 - NMD90 6/3</v>
      </c>
      <c r="C294" s="720"/>
      <c r="D294" s="720"/>
      <c r="E294" s="720"/>
      <c r="F294" s="720"/>
      <c r="G294" s="720"/>
      <c r="H294" s="720"/>
      <c r="I294" s="720"/>
      <c r="J294" s="720"/>
      <c r="K294" s="720"/>
      <c r="L294" s="721"/>
      <c r="M294" s="2"/>
    </row>
    <row r="295" spans="2:19" x14ac:dyDescent="0.35">
      <c r="B295" s="813" t="str">
        <f>IF(Intro!$G$21="English",Variables!$B$23,Variables!$C$23)</f>
        <v>mètres</v>
      </c>
      <c r="C295" s="814"/>
      <c r="D295" s="814"/>
      <c r="E295" s="245"/>
      <c r="F295" s="245"/>
      <c r="G295" s="245"/>
      <c r="H295" s="245"/>
      <c r="I295" s="245"/>
      <c r="J295" s="245"/>
      <c r="K295" s="245"/>
      <c r="L295" s="254"/>
      <c r="M295" s="2"/>
      <c r="O295" s="2" t="str">
        <f>Variables!B34</f>
        <v>No. 6 - NMD90 6/3</v>
      </c>
      <c r="P295" s="2" t="str">
        <f>Variables!C34</f>
        <v>N° 6 - NMD90 6/3</v>
      </c>
    </row>
    <row r="296" spans="2:19" x14ac:dyDescent="0.35">
      <c r="B296" s="813" t="str">
        <f>IF(Intro!G$21="English","net delivered selling value (CAD)","valeur de vente nette rendue (CAD)")</f>
        <v>valeur de vente nette rendue (CAD)</v>
      </c>
      <c r="C296" s="814"/>
      <c r="D296" s="814"/>
      <c r="E296" s="245"/>
      <c r="F296" s="245"/>
      <c r="G296" s="245"/>
      <c r="H296" s="245"/>
      <c r="I296" s="245"/>
      <c r="J296" s="245"/>
      <c r="K296" s="245"/>
      <c r="L296" s="254"/>
      <c r="M296" s="2"/>
    </row>
    <row r="297" spans="2:19" x14ac:dyDescent="0.35">
      <c r="B297" s="813" t="str">
        <f>"$ / "&amp;IF(Intro!$G$21="English",Variables!$B$24,Variables!$C$24)</f>
        <v>$ / mètre</v>
      </c>
      <c r="C297" s="814"/>
      <c r="D297" s="814"/>
      <c r="E297" s="255" t="str">
        <f t="shared" ref="E297:L297" si="29">IF(E295=0,"-",E296/E295)</f>
        <v>-</v>
      </c>
      <c r="F297" s="255" t="str">
        <f t="shared" si="29"/>
        <v>-</v>
      </c>
      <c r="G297" s="255" t="str">
        <f t="shared" si="29"/>
        <v>-</v>
      </c>
      <c r="H297" s="255" t="str">
        <f t="shared" si="29"/>
        <v>-</v>
      </c>
      <c r="I297" s="255" t="str">
        <f t="shared" si="29"/>
        <v>-</v>
      </c>
      <c r="J297" s="255" t="str">
        <f t="shared" si="29"/>
        <v>-</v>
      </c>
      <c r="K297" s="255" t="str">
        <f t="shared" si="29"/>
        <v>-</v>
      </c>
      <c r="L297" s="256" t="str">
        <f t="shared" si="29"/>
        <v>-</v>
      </c>
      <c r="M297" s="2"/>
    </row>
    <row r="298" spans="2:19" x14ac:dyDescent="0.35">
      <c r="B298" s="159"/>
      <c r="C298" s="160"/>
      <c r="D298" s="160"/>
      <c r="E298" s="29"/>
      <c r="F298" s="29"/>
      <c r="G298" s="29"/>
      <c r="H298" s="29"/>
      <c r="I298" s="29"/>
      <c r="J298" s="29"/>
      <c r="K298" s="29"/>
      <c r="L298" s="30"/>
      <c r="M298" s="2"/>
    </row>
    <row r="299" spans="2:19" x14ac:dyDescent="0.35">
      <c r="B299" s="608" t="str">
        <f>IF(Intro!$G$21="English",O299,P299)</f>
        <v>Dans le tableau ci-dessous, « Erreur » signifie que le total des ventes des produits de référence de votre entreprise dépasse le total des ventes nationales de votre entreprise pour cette période. Par conséquent, veuillez modifier les données ci-dessus.</v>
      </c>
      <c r="C299" s="609"/>
      <c r="D299" s="609"/>
      <c r="E299" s="609"/>
      <c r="F299" s="609"/>
      <c r="G299" s="609"/>
      <c r="H299" s="609"/>
      <c r="I299" s="609"/>
      <c r="J299" s="609"/>
      <c r="K299" s="609"/>
      <c r="L299" s="610"/>
      <c r="M299" s="2"/>
      <c r="O299" s="2" t="s">
        <v>414</v>
      </c>
      <c r="P299" s="2" t="s">
        <v>383</v>
      </c>
      <c r="Q299" s="152"/>
      <c r="R299" s="152"/>
      <c r="S299" s="152"/>
    </row>
    <row r="300" spans="2:19" x14ac:dyDescent="0.35">
      <c r="B300" s="608"/>
      <c r="C300" s="609"/>
      <c r="D300" s="609"/>
      <c r="E300" s="609"/>
      <c r="F300" s="609"/>
      <c r="G300" s="609"/>
      <c r="H300" s="609"/>
      <c r="I300" s="609"/>
      <c r="J300" s="609"/>
      <c r="K300" s="609"/>
      <c r="L300" s="610"/>
      <c r="M300" s="2"/>
      <c r="Q300" s="152"/>
      <c r="R300" s="152"/>
      <c r="S300" s="152"/>
    </row>
    <row r="301" spans="2:19" x14ac:dyDescent="0.35">
      <c r="B301" s="159"/>
      <c r="C301" s="160"/>
      <c r="D301" s="160"/>
      <c r="E301" s="29"/>
      <c r="F301" s="29"/>
      <c r="G301" s="29"/>
      <c r="H301" s="29"/>
      <c r="I301" s="29"/>
      <c r="J301" s="29"/>
      <c r="K301" s="29"/>
      <c r="L301" s="30"/>
      <c r="M301" s="2"/>
      <c r="Q301" s="152"/>
      <c r="R301" s="152"/>
      <c r="S301" s="152"/>
    </row>
    <row r="302" spans="2:19" x14ac:dyDescent="0.35">
      <c r="B302" s="810" t="str">
        <f>B254</f>
        <v>Vérification - volume</v>
      </c>
      <c r="C302" s="811"/>
      <c r="D302" s="811"/>
      <c r="E302" s="812"/>
      <c r="F302" s="262" t="str">
        <f>F254</f>
        <v>T2-T4 2024</v>
      </c>
      <c r="G302" s="262">
        <f>G254</f>
        <v>2025</v>
      </c>
      <c r="H302" s="262" t="str">
        <f>H254</f>
        <v>T1 - 2026</v>
      </c>
      <c r="I302" s="29"/>
      <c r="J302" s="29"/>
      <c r="K302" s="29"/>
      <c r="L302" s="30"/>
      <c r="M302" s="2"/>
    </row>
    <row r="303" spans="2:19" x14ac:dyDescent="0.35">
      <c r="B303" s="807" t="str">
        <f>IF(Intro!$G$21="English",Variables!$B$23,Variables!$C$23)</f>
        <v>mètres</v>
      </c>
      <c r="C303" s="808"/>
      <c r="D303" s="808"/>
      <c r="E303" s="809"/>
      <c r="F303" s="260" t="str">
        <f>IF(SUM(E275:G275,E279:G279,E283:G283,E287:G287,E291:G291,E295:G295)&gt;SUM(H28,H31),Variables!D62,Variables!D63)</f>
        <v>Correct</v>
      </c>
      <c r="G303" s="260" t="str">
        <f>IF(SUM(H275:K275,H279:K279,H283:K283,H287:K287,H291:K291,H295:K295)&gt;SUM(I28,I31),Variables!D62,Variables!D63)</f>
        <v>Correct</v>
      </c>
      <c r="H303" s="260" t="str">
        <f>IF(SUM(L275,L279,L283,L287,L291,L295)&gt;SUM(K28,K31),Variables!D62,Variables!D63)</f>
        <v>Correct</v>
      </c>
      <c r="I303" s="29"/>
      <c r="J303" s="29"/>
      <c r="K303" s="29"/>
      <c r="L303" s="30"/>
      <c r="M303" s="2"/>
    </row>
    <row r="304" spans="2:19" x14ac:dyDescent="0.35">
      <c r="B304" s="792" t="str">
        <f>IF(Intro!$G$21="English",O304,P304)</f>
        <v>volume - total des ventes au Canada de la production nationale de produits de référence (Question 15)</v>
      </c>
      <c r="C304" s="793"/>
      <c r="D304" s="793"/>
      <c r="E304" s="794"/>
      <c r="F304" s="816">
        <f>SUM(E275:G275,E279:G279,E283:G283,E287:G287,E291:G291,E295:G295)</f>
        <v>0</v>
      </c>
      <c r="G304" s="816">
        <f>SUM(H275:K275,H279:K279,H283:K283,H287:K287,H291:K291,H295:K295)</f>
        <v>0</v>
      </c>
      <c r="H304" s="816">
        <f>SUM(L275,L279,L283,L287,L291,L295)</f>
        <v>0</v>
      </c>
      <c r="I304" s="29"/>
      <c r="J304" s="29"/>
      <c r="K304" s="29"/>
      <c r="L304" s="30"/>
      <c r="M304" s="2"/>
      <c r="O304" s="2" t="s">
        <v>749</v>
      </c>
      <c r="P304" s="2" t="s">
        <v>750</v>
      </c>
    </row>
    <row r="305" spans="1:16" x14ac:dyDescent="0.35">
      <c r="B305" s="795"/>
      <c r="C305" s="796"/>
      <c r="D305" s="796"/>
      <c r="E305" s="797"/>
      <c r="F305" s="817"/>
      <c r="G305" s="817"/>
      <c r="H305" s="817"/>
      <c r="I305" s="29"/>
      <c r="J305" s="29"/>
      <c r="K305" s="29"/>
      <c r="L305" s="30"/>
      <c r="M305" s="2"/>
    </row>
    <row r="306" spans="1:16" x14ac:dyDescent="0.35">
      <c r="B306" s="798" t="str">
        <f>IF(Intro!$G$21="English",O306,P306)</f>
        <v>volume - total des ventes au Canada de la production nationale (Question 1)</v>
      </c>
      <c r="C306" s="799"/>
      <c r="D306" s="799"/>
      <c r="E306" s="800"/>
      <c r="F306" s="816">
        <f>SUM(H28,H31)</f>
        <v>0</v>
      </c>
      <c r="G306" s="816">
        <f>SUM(I28,I31)</f>
        <v>0</v>
      </c>
      <c r="H306" s="816">
        <f>SUM(K28,K31)</f>
        <v>0</v>
      </c>
      <c r="I306" s="29"/>
      <c r="J306" s="29"/>
      <c r="K306" s="29"/>
      <c r="L306" s="30"/>
      <c r="M306" s="2"/>
      <c r="O306" s="2" t="s">
        <v>736</v>
      </c>
      <c r="P306" s="2" t="s">
        <v>745</v>
      </c>
    </row>
    <row r="307" spans="1:16" x14ac:dyDescent="0.35">
      <c r="B307" s="801"/>
      <c r="C307" s="802"/>
      <c r="D307" s="802"/>
      <c r="E307" s="803"/>
      <c r="F307" s="817"/>
      <c r="G307" s="817"/>
      <c r="H307" s="817"/>
      <c r="I307" s="29"/>
      <c r="J307" s="29"/>
      <c r="K307" s="29"/>
      <c r="L307" s="30"/>
      <c r="M307" s="2"/>
    </row>
    <row r="308" spans="1:16" x14ac:dyDescent="0.35">
      <c r="B308" s="783" t="str">
        <f>B260</f>
        <v>Vérification - valeur</v>
      </c>
      <c r="C308" s="784"/>
      <c r="D308" s="784"/>
      <c r="E308" s="785"/>
      <c r="F308" s="208" t="str">
        <f>F302</f>
        <v>T2-T4 2024</v>
      </c>
      <c r="G308" s="208">
        <f t="shared" ref="G308:H308" si="30">G302</f>
        <v>2025</v>
      </c>
      <c r="H308" s="208" t="str">
        <f t="shared" si="30"/>
        <v>T1 - 2026</v>
      </c>
      <c r="I308" s="29"/>
      <c r="J308" s="29"/>
      <c r="K308" s="29"/>
      <c r="L308" s="30"/>
      <c r="M308" s="2"/>
    </row>
    <row r="309" spans="1:16" x14ac:dyDescent="0.35">
      <c r="B309" s="807" t="str">
        <f>IF(Intro!G$21="English","net delivered selling value (CAD)","valeur de vente nette rendue (CAD)")</f>
        <v>valeur de vente nette rendue (CAD)</v>
      </c>
      <c r="C309" s="808"/>
      <c r="D309" s="808"/>
      <c r="E309" s="809"/>
      <c r="F309" s="260" t="str">
        <f>IF(SUM(E276:G276,E280:G280,E284:G284,E288:G288,E292:G292,E296:G296)&gt;SUM(H29,H32),Variables!D66,Variables!D67)</f>
        <v>Correct</v>
      </c>
      <c r="G309" s="260" t="str">
        <f>IF(SUM(H276:K276,H280:K280,H284:K284,H288:K288,H292:K292,H296:K296)&gt;SUM(I29,I32),Variables!D66,Variables!D67)</f>
        <v>Correct</v>
      </c>
      <c r="H309" s="260" t="str">
        <f>IF(SUM(L276,L280,L284,L288,L292,L296)&gt;SUM(K29,K32),Variables!D66,Variables!D67)</f>
        <v>Correct</v>
      </c>
      <c r="I309" s="29"/>
      <c r="J309" s="29"/>
      <c r="K309" s="29"/>
      <c r="L309" s="30"/>
      <c r="M309" s="2"/>
    </row>
    <row r="310" spans="1:16" x14ac:dyDescent="0.35">
      <c r="B310" s="792" t="str">
        <f>IF(Intro!$G$21="English",O310,P310)</f>
        <v>valeur - total des ventes au Canada de la production nationale de produits de référence (Question 15)</v>
      </c>
      <c r="C310" s="793"/>
      <c r="D310" s="793"/>
      <c r="E310" s="794"/>
      <c r="F310" s="818">
        <f>SUM(E276:G276,E280:G280,E284:G284,E288:G288,E292:G292,E296:G296)</f>
        <v>0</v>
      </c>
      <c r="G310" s="818">
        <f>SUM(H276:K276,H280:K280,H284:K284,H288:K288,H292:K292,H296:K296)</f>
        <v>0</v>
      </c>
      <c r="H310" s="818">
        <f>SUM(L276,L280,L284,L288,L292,L296)</f>
        <v>0</v>
      </c>
      <c r="I310" s="29"/>
      <c r="J310" s="29"/>
      <c r="K310" s="29"/>
      <c r="L310" s="30"/>
      <c r="M310" s="2"/>
      <c r="O310" s="2" t="s">
        <v>751</v>
      </c>
      <c r="P310" s="2" t="s">
        <v>752</v>
      </c>
    </row>
    <row r="311" spans="1:16" x14ac:dyDescent="0.35">
      <c r="B311" s="795"/>
      <c r="C311" s="796"/>
      <c r="D311" s="796"/>
      <c r="E311" s="797"/>
      <c r="F311" s="818"/>
      <c r="G311" s="818"/>
      <c r="H311" s="818"/>
      <c r="I311" s="29"/>
      <c r="J311" s="29"/>
      <c r="K311" s="29"/>
      <c r="L311" s="30"/>
      <c r="M311" s="2"/>
    </row>
    <row r="312" spans="1:16" x14ac:dyDescent="0.35">
      <c r="B312" s="798" t="str">
        <f>IF(Intro!$G$21="English",O312,P312)</f>
        <v>valeur - total des ventes au Canada de la production nationale (Question 1)</v>
      </c>
      <c r="C312" s="799"/>
      <c r="D312" s="799"/>
      <c r="E312" s="800"/>
      <c r="F312" s="818">
        <f>SUM(H29,H32)</f>
        <v>0</v>
      </c>
      <c r="G312" s="818">
        <f>SUM(I29,I32)</f>
        <v>0</v>
      </c>
      <c r="H312" s="818">
        <f>SUM(K29,K32)</f>
        <v>0</v>
      </c>
      <c r="I312" s="29"/>
      <c r="J312" s="29"/>
      <c r="K312" s="29"/>
      <c r="L312" s="30"/>
      <c r="M312" s="2"/>
      <c r="O312" s="2" t="s">
        <v>753</v>
      </c>
      <c r="P312" s="2" t="s">
        <v>748</v>
      </c>
    </row>
    <row r="313" spans="1:16" x14ac:dyDescent="0.35">
      <c r="B313" s="804"/>
      <c r="C313" s="805"/>
      <c r="D313" s="805"/>
      <c r="E313" s="806"/>
      <c r="F313" s="818"/>
      <c r="G313" s="818"/>
      <c r="H313" s="818"/>
      <c r="I313" s="29"/>
      <c r="J313" s="29"/>
      <c r="K313" s="29"/>
      <c r="L313" s="30"/>
      <c r="M313" s="2"/>
    </row>
    <row r="314" spans="1:16" x14ac:dyDescent="0.35">
      <c r="B314" s="175"/>
      <c r="C314" s="176"/>
      <c r="D314" s="176"/>
      <c r="E314" s="176"/>
      <c r="F314" s="176"/>
      <c r="G314" s="176"/>
      <c r="H314" s="176"/>
      <c r="I314" s="176"/>
      <c r="J314" s="176"/>
      <c r="K314" s="176"/>
      <c r="L314" s="177"/>
      <c r="M314" s="2"/>
    </row>
    <row r="315" spans="1:16" s="3" customFormat="1" x14ac:dyDescent="0.35">
      <c r="A315" s="12"/>
      <c r="B315" s="189"/>
      <c r="C315" s="189"/>
      <c r="D315" s="182"/>
      <c r="E315" s="183"/>
      <c r="F315" s="183"/>
      <c r="G315" s="183"/>
      <c r="H315" s="183"/>
      <c r="I315" s="183"/>
      <c r="J315" s="183"/>
      <c r="K315" s="183"/>
      <c r="L315" s="183"/>
      <c r="M315" s="167"/>
    </row>
    <row r="316" spans="1:16" s="156" customFormat="1" x14ac:dyDescent="0.35">
      <c r="A316" s="179"/>
      <c r="B316" s="13"/>
      <c r="C316" s="13"/>
      <c r="D316" s="180"/>
      <c r="E316" s="180"/>
      <c r="F316" s="180"/>
      <c r="G316" s="180"/>
      <c r="H316" s="180"/>
      <c r="I316" s="180"/>
      <c r="J316" s="180"/>
      <c r="K316" s="180"/>
      <c r="L316" s="180"/>
      <c r="N316" s="181"/>
    </row>
    <row r="317" spans="1:16" s="156" customFormat="1" x14ac:dyDescent="0.35">
      <c r="A317" s="179"/>
      <c r="B317" s="13"/>
      <c r="C317" s="13"/>
      <c r="D317" s="180"/>
      <c r="E317" s="180"/>
      <c r="F317" s="180"/>
      <c r="G317" s="180"/>
      <c r="H317" s="180"/>
      <c r="I317" s="180"/>
      <c r="J317" s="180"/>
      <c r="K317" s="180"/>
      <c r="L317" s="180"/>
      <c r="N317" s="181"/>
    </row>
    <row r="318" spans="1:16" s="156" customFormat="1" x14ac:dyDescent="0.35">
      <c r="A318" s="179"/>
      <c r="B318" s="13"/>
      <c r="C318" s="13"/>
      <c r="D318" s="180"/>
      <c r="E318" s="180"/>
      <c r="F318" s="180"/>
      <c r="G318" s="180"/>
      <c r="H318" s="180"/>
      <c r="I318" s="180"/>
      <c r="J318" s="180"/>
      <c r="K318" s="180"/>
      <c r="L318" s="180"/>
      <c r="N318" s="181"/>
    </row>
    <row r="319" spans="1:16" s="156" customFormat="1" x14ac:dyDescent="0.35">
      <c r="A319" s="179"/>
      <c r="B319" s="13"/>
      <c r="C319" s="13"/>
      <c r="D319" s="180"/>
      <c r="E319" s="180"/>
      <c r="F319" s="180"/>
      <c r="G319" s="180"/>
      <c r="H319" s="180"/>
      <c r="I319" s="180"/>
      <c r="J319" s="180"/>
      <c r="K319" s="180"/>
      <c r="L319" s="180"/>
      <c r="N319" s="181"/>
    </row>
    <row r="320" spans="1:16" s="156" customFormat="1" x14ac:dyDescent="0.35">
      <c r="A320" s="179"/>
      <c r="B320" s="13"/>
      <c r="C320" s="13"/>
      <c r="D320" s="180"/>
      <c r="E320" s="180"/>
      <c r="F320" s="180"/>
      <c r="G320" s="180"/>
      <c r="H320" s="180"/>
      <c r="I320" s="180"/>
      <c r="J320" s="180"/>
      <c r="K320" s="180"/>
      <c r="L320" s="180"/>
      <c r="N320" s="181"/>
    </row>
    <row r="321" spans="1:14" s="156" customFormat="1" x14ac:dyDescent="0.35">
      <c r="A321" s="179"/>
      <c r="B321" s="13"/>
      <c r="C321" s="13"/>
      <c r="D321" s="180"/>
      <c r="E321" s="180"/>
      <c r="F321" s="180"/>
      <c r="G321" s="180"/>
      <c r="H321" s="180"/>
      <c r="I321" s="180"/>
      <c r="J321" s="180"/>
      <c r="K321" s="180"/>
      <c r="L321" s="180"/>
      <c r="N321" s="181"/>
    </row>
    <row r="322" spans="1:14" s="156" customFormat="1" x14ac:dyDescent="0.35">
      <c r="A322" s="179"/>
      <c r="B322" s="13"/>
      <c r="C322" s="13"/>
      <c r="D322" s="180"/>
      <c r="E322" s="180"/>
      <c r="F322" s="180"/>
      <c r="G322" s="180"/>
      <c r="H322" s="180"/>
      <c r="I322" s="180"/>
      <c r="J322" s="180"/>
      <c r="K322" s="180"/>
      <c r="L322" s="180"/>
      <c r="N322" s="181"/>
    </row>
    <row r="323" spans="1:14" s="156" customFormat="1" x14ac:dyDescent="0.35">
      <c r="A323" s="179"/>
      <c r="B323" s="13"/>
      <c r="C323" s="13"/>
      <c r="D323" s="180"/>
      <c r="E323" s="180"/>
      <c r="F323" s="180"/>
      <c r="G323" s="180"/>
      <c r="H323" s="180"/>
      <c r="I323" s="180"/>
      <c r="J323" s="180"/>
      <c r="K323" s="180"/>
      <c r="L323" s="180"/>
      <c r="N323" s="181"/>
    </row>
    <row r="324" spans="1:14" s="156" customFormat="1" x14ac:dyDescent="0.35">
      <c r="A324" s="179"/>
      <c r="B324" s="13"/>
      <c r="C324" s="13"/>
      <c r="D324" s="180"/>
      <c r="E324" s="180"/>
      <c r="F324" s="180"/>
      <c r="G324" s="180"/>
      <c r="H324" s="180"/>
      <c r="I324" s="180"/>
      <c r="J324" s="180"/>
      <c r="K324" s="180"/>
      <c r="L324" s="180"/>
      <c r="N324" s="181"/>
    </row>
    <row r="325" spans="1:14" s="156" customFormat="1" x14ac:dyDescent="0.35">
      <c r="A325" s="179"/>
      <c r="B325" s="13"/>
      <c r="C325" s="13"/>
      <c r="D325" s="180"/>
      <c r="E325" s="180"/>
      <c r="F325" s="180"/>
      <c r="G325" s="180"/>
      <c r="H325" s="180"/>
      <c r="I325" s="180"/>
      <c r="J325" s="180"/>
      <c r="K325" s="180"/>
      <c r="L325" s="180"/>
      <c r="N325" s="181"/>
    </row>
    <row r="326" spans="1:14" s="156" customFormat="1" x14ac:dyDescent="0.35">
      <c r="A326" s="179"/>
      <c r="B326" s="13"/>
      <c r="C326" s="13"/>
      <c r="D326" s="180"/>
      <c r="E326" s="180"/>
      <c r="F326" s="180"/>
      <c r="G326" s="180"/>
      <c r="H326" s="180"/>
      <c r="I326" s="180"/>
      <c r="J326" s="180"/>
      <c r="K326" s="180"/>
      <c r="L326" s="180"/>
      <c r="N326" s="181"/>
    </row>
    <row r="327" spans="1:14" s="156" customFormat="1" x14ac:dyDescent="0.35">
      <c r="A327" s="179"/>
      <c r="B327" s="13"/>
      <c r="C327" s="13"/>
      <c r="D327" s="180"/>
      <c r="E327" s="180"/>
      <c r="F327" s="180"/>
      <c r="G327" s="180"/>
      <c r="H327" s="180"/>
      <c r="I327" s="180"/>
      <c r="J327" s="180"/>
      <c r="K327" s="180"/>
      <c r="L327" s="180"/>
      <c r="N327" s="181"/>
    </row>
    <row r="328" spans="1:14" s="156" customFormat="1" x14ac:dyDescent="0.35">
      <c r="A328" s="179"/>
      <c r="B328" s="13"/>
      <c r="C328" s="13"/>
      <c r="D328" s="180"/>
      <c r="E328" s="180"/>
      <c r="F328" s="180"/>
      <c r="G328" s="180"/>
      <c r="H328" s="180"/>
      <c r="I328" s="180"/>
      <c r="J328" s="180"/>
      <c r="K328" s="180"/>
      <c r="L328" s="180"/>
      <c r="N328" s="181"/>
    </row>
    <row r="329" spans="1:14" s="156" customFormat="1" x14ac:dyDescent="0.35">
      <c r="A329" s="179"/>
      <c r="B329" s="13"/>
      <c r="C329" s="13"/>
      <c r="D329" s="180"/>
      <c r="E329" s="180"/>
      <c r="F329" s="180"/>
      <c r="G329" s="180"/>
      <c r="H329" s="180"/>
      <c r="I329" s="180"/>
      <c r="J329" s="180"/>
      <c r="K329" s="180"/>
      <c r="L329" s="180"/>
      <c r="N329" s="181"/>
    </row>
    <row r="330" spans="1:14" s="156" customFormat="1" x14ac:dyDescent="0.35">
      <c r="A330" s="179"/>
      <c r="B330" s="13"/>
      <c r="C330" s="13"/>
      <c r="D330" s="180"/>
      <c r="E330" s="180"/>
      <c r="F330" s="180"/>
      <c r="G330" s="180"/>
      <c r="H330" s="180"/>
      <c r="I330" s="180"/>
      <c r="J330" s="180"/>
      <c r="K330" s="180"/>
      <c r="L330" s="180"/>
      <c r="N330" s="181"/>
    </row>
    <row r="331" spans="1:14" s="156" customFormat="1" x14ac:dyDescent="0.35">
      <c r="A331" s="179"/>
      <c r="B331" s="13"/>
      <c r="C331" s="13"/>
      <c r="D331" s="180"/>
      <c r="E331" s="180"/>
      <c r="F331" s="180"/>
      <c r="G331" s="180"/>
      <c r="H331" s="180"/>
      <c r="I331" s="180"/>
      <c r="J331" s="180"/>
      <c r="K331" s="180"/>
      <c r="L331" s="180"/>
      <c r="N331" s="181"/>
    </row>
    <row r="332" spans="1:14" s="156" customFormat="1" x14ac:dyDescent="0.35">
      <c r="A332" s="179"/>
      <c r="B332" s="13"/>
      <c r="C332" s="13"/>
      <c r="D332" s="180"/>
      <c r="E332" s="180"/>
      <c r="F332" s="180"/>
      <c r="G332" s="180"/>
      <c r="H332" s="180"/>
      <c r="I332" s="180"/>
      <c r="J332" s="180"/>
      <c r="K332" s="180"/>
      <c r="L332" s="180"/>
      <c r="N332" s="181"/>
    </row>
    <row r="333" spans="1:14" s="156" customFormat="1" x14ac:dyDescent="0.35">
      <c r="A333" s="179"/>
      <c r="B333" s="13"/>
      <c r="C333" s="13"/>
      <c r="D333" s="180"/>
      <c r="E333" s="180"/>
      <c r="F333" s="180"/>
      <c r="G333" s="180"/>
      <c r="H333" s="180"/>
      <c r="I333" s="180"/>
      <c r="J333" s="180"/>
      <c r="K333" s="180"/>
      <c r="L333" s="180"/>
      <c r="N333" s="181"/>
    </row>
    <row r="334" spans="1:14" s="156" customFormat="1" x14ac:dyDescent="0.35">
      <c r="A334" s="179"/>
      <c r="B334" s="13"/>
      <c r="C334" s="13"/>
      <c r="D334" s="180"/>
      <c r="E334" s="180"/>
      <c r="F334" s="180"/>
      <c r="G334" s="180"/>
      <c r="H334" s="180"/>
      <c r="I334" s="180"/>
      <c r="J334" s="180"/>
      <c r="K334" s="180"/>
      <c r="L334" s="180"/>
      <c r="N334" s="181"/>
    </row>
    <row r="335" spans="1:14" s="156" customFormat="1" x14ac:dyDescent="0.35">
      <c r="A335" s="179"/>
      <c r="B335" s="13"/>
      <c r="C335" s="13"/>
      <c r="D335" s="180"/>
      <c r="E335" s="180"/>
      <c r="F335" s="180"/>
      <c r="G335" s="180"/>
      <c r="H335" s="180"/>
      <c r="I335" s="180"/>
      <c r="J335" s="180"/>
      <c r="K335" s="180"/>
      <c r="L335" s="180"/>
      <c r="N335" s="181"/>
    </row>
    <row r="336" spans="1:14" s="156" customFormat="1" x14ac:dyDescent="0.35">
      <c r="A336" s="179"/>
      <c r="B336" s="13"/>
      <c r="C336" s="13"/>
      <c r="D336" s="180"/>
      <c r="E336" s="180"/>
      <c r="F336" s="180"/>
      <c r="G336" s="180"/>
      <c r="H336" s="180"/>
      <c r="I336" s="180"/>
      <c r="J336" s="180"/>
      <c r="K336" s="180"/>
      <c r="L336" s="180"/>
      <c r="N336" s="181"/>
    </row>
  </sheetData>
  <sheetProtection algorithmName="SHA-512" hashValue="I1ybvLKNzVnoUpWBpjvRBN10AkkaJTeWgQPZ/ayAouNOtIzHraAHOP8eGgcm661mLW8H52GscRv+AdWXBG33WQ==" saltValue="TYtQl+lURENum+m0sDofBQ==" spinCount="100000" sheet="1" objects="1" scenarios="1" selectLockedCells="1"/>
  <mergeCells count="213">
    <mergeCell ref="K50:K52"/>
    <mergeCell ref="B289:D289"/>
    <mergeCell ref="B292:D292"/>
    <mergeCell ref="B137:L137"/>
    <mergeCell ref="B156:L156"/>
    <mergeCell ref="B230:L230"/>
    <mergeCell ref="B234:L234"/>
    <mergeCell ref="B233:D233"/>
    <mergeCell ref="B235:D235"/>
    <mergeCell ref="B278:L278"/>
    <mergeCell ref="B240:D240"/>
    <mergeCell ref="B241:D241"/>
    <mergeCell ref="B243:D243"/>
    <mergeCell ref="B244:D244"/>
    <mergeCell ref="B238:L238"/>
    <mergeCell ref="B242:L242"/>
    <mergeCell ref="B245:D245"/>
    <mergeCell ref="B276:D276"/>
    <mergeCell ref="B277:D277"/>
    <mergeCell ref="B246:L246"/>
    <mergeCell ref="B268:L268"/>
    <mergeCell ref="J204:J205"/>
    <mergeCell ref="K204:K205"/>
    <mergeCell ref="B251:L252"/>
    <mergeCell ref="B248:D248"/>
    <mergeCell ref="B249:D249"/>
    <mergeCell ref="B215:L215"/>
    <mergeCell ref="B225:L225"/>
    <mergeCell ref="B207:E207"/>
    <mergeCell ref="B208:E208"/>
    <mergeCell ref="C220:L220"/>
    <mergeCell ref="C221:L221"/>
    <mergeCell ref="C222:L222"/>
    <mergeCell ref="B210:E210"/>
    <mergeCell ref="B211:E211"/>
    <mergeCell ref="B209:E209"/>
    <mergeCell ref="E28:F28"/>
    <mergeCell ref="I54:I55"/>
    <mergeCell ref="J54:J55"/>
    <mergeCell ref="B50:E53"/>
    <mergeCell ref="F50:F53"/>
    <mergeCell ref="G50:G52"/>
    <mergeCell ref="H50:H52"/>
    <mergeCell ref="I50:I52"/>
    <mergeCell ref="J50:J52"/>
    <mergeCell ref="B34:D36"/>
    <mergeCell ref="E34:F34"/>
    <mergeCell ref="E35:F35"/>
    <mergeCell ref="E36:F36"/>
    <mergeCell ref="B128:L135"/>
    <mergeCell ref="B147:L154"/>
    <mergeCell ref="B161:L168"/>
    <mergeCell ref="B175:L182"/>
    <mergeCell ref="B70:L71"/>
    <mergeCell ref="G141:G142"/>
    <mergeCell ref="B186:L187"/>
    <mergeCell ref="G204:G205"/>
    <mergeCell ref="H204:H205"/>
    <mergeCell ref="I204:I205"/>
    <mergeCell ref="I141:I142"/>
    <mergeCell ref="B184:L184"/>
    <mergeCell ref="B200:L200"/>
    <mergeCell ref="J141:J142"/>
    <mergeCell ref="K141:K142"/>
    <mergeCell ref="H141:H142"/>
    <mergeCell ref="B202:L202"/>
    <mergeCell ref="B199:L199"/>
    <mergeCell ref="B124:L126"/>
    <mergeCell ref="B68:L68"/>
    <mergeCell ref="B82:L82"/>
    <mergeCell ref="B96:L96"/>
    <mergeCell ref="B109:L109"/>
    <mergeCell ref="B122:L122"/>
    <mergeCell ref="F54:F55"/>
    <mergeCell ref="G54:G55"/>
    <mergeCell ref="H54:H55"/>
    <mergeCell ref="B59:L66"/>
    <mergeCell ref="B73:L80"/>
    <mergeCell ref="B87:L94"/>
    <mergeCell ref="B100:L107"/>
    <mergeCell ref="B113:L120"/>
    <mergeCell ref="B57:L57"/>
    <mergeCell ref="B54:E55"/>
    <mergeCell ref="B84:L85"/>
    <mergeCell ref="B98:L98"/>
    <mergeCell ref="B13:L13"/>
    <mergeCell ref="H23:H24"/>
    <mergeCell ref="I48:I49"/>
    <mergeCell ref="J48:J49"/>
    <mergeCell ref="K48:K49"/>
    <mergeCell ref="B46:L47"/>
    <mergeCell ref="E37:F37"/>
    <mergeCell ref="E38:F38"/>
    <mergeCell ref="E39:F39"/>
    <mergeCell ref="B19:L19"/>
    <mergeCell ref="B44:L44"/>
    <mergeCell ref="B14:L14"/>
    <mergeCell ref="B18:L18"/>
    <mergeCell ref="I23:I24"/>
    <mergeCell ref="J23:J24"/>
    <mergeCell ref="K23:K24"/>
    <mergeCell ref="E40:F40"/>
    <mergeCell ref="E41:F41"/>
    <mergeCell ref="E42:F42"/>
    <mergeCell ref="G23:G24"/>
    <mergeCell ref="G48:G49"/>
    <mergeCell ref="E25:F25"/>
    <mergeCell ref="E26:F26"/>
    <mergeCell ref="E27:F27"/>
    <mergeCell ref="B4:L4"/>
    <mergeCell ref="B5:L5"/>
    <mergeCell ref="B6:L6"/>
    <mergeCell ref="B111:L111"/>
    <mergeCell ref="B139:L139"/>
    <mergeCell ref="B15:L15"/>
    <mergeCell ref="B16:L16"/>
    <mergeCell ref="B21:L21"/>
    <mergeCell ref="B25:D27"/>
    <mergeCell ref="B28:D30"/>
    <mergeCell ref="K54:K55"/>
    <mergeCell ref="H48:H49"/>
    <mergeCell ref="B31:D33"/>
    <mergeCell ref="B37:D39"/>
    <mergeCell ref="B40:D42"/>
    <mergeCell ref="B8:L8"/>
    <mergeCell ref="E29:F29"/>
    <mergeCell ref="E30:F30"/>
    <mergeCell ref="E31:F31"/>
    <mergeCell ref="B9:L9"/>
    <mergeCell ref="B10:L10"/>
    <mergeCell ref="B12:L12"/>
    <mergeCell ref="E32:F32"/>
    <mergeCell ref="E33:F33"/>
    <mergeCell ref="F304:F305"/>
    <mergeCell ref="G304:G305"/>
    <mergeCell ref="H304:H305"/>
    <mergeCell ref="B158:L159"/>
    <mergeCell ref="B172:L173"/>
    <mergeCell ref="B170:L170"/>
    <mergeCell ref="B145:L145"/>
    <mergeCell ref="D143:E143"/>
    <mergeCell ref="B231:D231"/>
    <mergeCell ref="B232:D232"/>
    <mergeCell ref="B260:E260"/>
    <mergeCell ref="B236:D236"/>
    <mergeCell ref="B237:D237"/>
    <mergeCell ref="B239:D239"/>
    <mergeCell ref="B294:L294"/>
    <mergeCell ref="C223:L223"/>
    <mergeCell ref="C219:L219"/>
    <mergeCell ref="B227:L227"/>
    <mergeCell ref="B271:L271"/>
    <mergeCell ref="B247:D247"/>
    <mergeCell ref="B214:L214"/>
    <mergeCell ref="B189:L196"/>
    <mergeCell ref="B217:L217"/>
    <mergeCell ref="B206:E206"/>
    <mergeCell ref="H264:H265"/>
    <mergeCell ref="B274:L274"/>
    <mergeCell ref="B279:D279"/>
    <mergeCell ref="B283:D283"/>
    <mergeCell ref="B287:D287"/>
    <mergeCell ref="B291:D291"/>
    <mergeCell ref="B299:L300"/>
    <mergeCell ref="B286:L286"/>
    <mergeCell ref="B290:L290"/>
    <mergeCell ref="B295:D295"/>
    <mergeCell ref="B275:D275"/>
    <mergeCell ref="F264:F265"/>
    <mergeCell ref="G264:G265"/>
    <mergeCell ref="B269:L269"/>
    <mergeCell ref="F256:F257"/>
    <mergeCell ref="G256:G257"/>
    <mergeCell ref="H256:H257"/>
    <mergeCell ref="F258:F259"/>
    <mergeCell ref="G258:G259"/>
    <mergeCell ref="H258:H259"/>
    <mergeCell ref="F262:F263"/>
    <mergeCell ref="G262:G263"/>
    <mergeCell ref="H262:H263"/>
    <mergeCell ref="F310:F311"/>
    <mergeCell ref="G310:G311"/>
    <mergeCell ref="H310:H311"/>
    <mergeCell ref="F312:F313"/>
    <mergeCell ref="G312:G313"/>
    <mergeCell ref="H312:H313"/>
    <mergeCell ref="B309:E309"/>
    <mergeCell ref="B310:E311"/>
    <mergeCell ref="B312:E313"/>
    <mergeCell ref="B308:E308"/>
    <mergeCell ref="B254:E254"/>
    <mergeCell ref="B255:E255"/>
    <mergeCell ref="B256:E257"/>
    <mergeCell ref="B258:E259"/>
    <mergeCell ref="B261:E261"/>
    <mergeCell ref="B262:E263"/>
    <mergeCell ref="B264:E265"/>
    <mergeCell ref="B303:E303"/>
    <mergeCell ref="B304:E305"/>
    <mergeCell ref="B306:E307"/>
    <mergeCell ref="B302:E302"/>
    <mergeCell ref="B293:D293"/>
    <mergeCell ref="B296:D296"/>
    <mergeCell ref="B297:D297"/>
    <mergeCell ref="B280:D280"/>
    <mergeCell ref="B281:D281"/>
    <mergeCell ref="B284:D284"/>
    <mergeCell ref="B285:D285"/>
    <mergeCell ref="B288:D288"/>
    <mergeCell ref="B282:L282"/>
    <mergeCell ref="F306:F307"/>
    <mergeCell ref="G306:G307"/>
    <mergeCell ref="H306:H307"/>
  </mergeCells>
  <phoneticPr fontId="18" type="noConversion"/>
  <conditionalFormatting sqref="F255:H256 F258:H258 F261:H262 F264:H264">
    <cfRule type="cellIs" dxfId="7" priority="3" operator="equal">
      <formula>"Error"</formula>
    </cfRule>
    <cfRule type="cellIs" dxfId="6" priority="7" operator="equal">
      <formula>"Erreur"</formula>
    </cfRule>
  </conditionalFormatting>
  <conditionalFormatting sqref="F303:H304 F306:H306">
    <cfRule type="cellIs" dxfId="5" priority="2" operator="equal">
      <formula>"Error"</formula>
    </cfRule>
    <cfRule type="cellIs" dxfId="4" priority="5" operator="equal">
      <formula>"Erreur"</formula>
    </cfRule>
  </conditionalFormatting>
  <conditionalFormatting sqref="F309:H310 F312:H312">
    <cfRule type="cellIs" dxfId="3" priority="1" operator="equal">
      <formula>"Error"</formula>
    </cfRule>
    <cfRule type="cellIs" dxfId="2" priority="4" operator="equal">
      <formula>"Erreur"</formula>
    </cfRule>
  </conditionalFormatting>
  <dataValidations xWindow="417" yWindow="363"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3:K54 F303:H304 F261:H262 F264:H264 F255:H256 F258:H258 F309:H310 F312:H312 F306:H306" xr:uid="{72976589-ADC1-4497-B4BE-A694751FADD3}">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59:B61 B73 B87 B100 B113 B128 B147 B161 B175 B189 B76:B77 B90:B91" xr:uid="{0E1763AA-C851-4790-9B75-66F32446FBF7}">
      <formula1>1000</formula1>
    </dataValidation>
    <dataValidation type="decimal" operator="greaterThan" allowBlank="1" showInputMessage="1" showErrorMessage="1" sqref="G206:K210 G40:G41 H40:K41 G25:G26 G28:G29 H28:K29 H31:K32 G31:G32 G37:G38 H37:K38 E231:L232" xr:uid="{E7D23B9B-FBDB-48FD-8FA3-2DF7FA83F5F3}">
      <formula1>-1000000000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43:K143 E235:L236 E239:L240 E243:L244 E247:L248 E275:L276 E279:L280 E283:L284 E287:L288 E291:L292 E295:L296" xr:uid="{20B3A11F-8261-49DB-8EBE-BE87736091B7}">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67" min="1" max="10" man="1"/>
    <brk id="121" min="1" max="11" man="1"/>
    <brk id="169" min="1" max="11" man="1"/>
    <brk id="224" min="1" max="11" man="1"/>
    <brk id="267"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CBD-1E56-47B5-86FF-DC76D73B23C4}">
  <sheetPr>
    <tabColor rgb="FF92D050"/>
    <pageSetUpPr fitToPage="1"/>
  </sheetPr>
  <dimension ref="A1:P409"/>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7" width="8.54296875" style="2" customWidth="1"/>
    <col min="18" max="16384" width="9.08984375" style="2"/>
  </cols>
  <sheetData>
    <row r="1" spans="1:16" x14ac:dyDescent="0.35">
      <c r="O1" s="2" t="s">
        <v>715</v>
      </c>
      <c r="P1" s="2" t="s">
        <v>715</v>
      </c>
    </row>
    <row r="2" spans="1:16" x14ac:dyDescent="0.35">
      <c r="B2" s="20" t="str">
        <f>'Pro 1'!B2</f>
        <v>PROTÉGÉ</v>
      </c>
      <c r="C2" s="20"/>
      <c r="D2" s="20"/>
      <c r="O2" s="3" t="s">
        <v>164</v>
      </c>
      <c r="P2" s="3" t="s">
        <v>165</v>
      </c>
    </row>
    <row r="3" spans="1:16" x14ac:dyDescent="0.35">
      <c r="B3" s="21"/>
      <c r="C3" s="21"/>
      <c r="D3" s="21"/>
      <c r="O3" s="8"/>
      <c r="P3" s="8"/>
    </row>
    <row r="4" spans="1:16" s="8" customFormat="1" x14ac:dyDescent="0.35">
      <c r="A4" s="13"/>
      <c r="B4" s="614" t="str">
        <f>Info!B4</f>
        <v>QUESTIONNAIRE À L’INTENTION DES PRODUCTEURS</v>
      </c>
      <c r="C4" s="615"/>
      <c r="D4" s="615"/>
      <c r="E4" s="615"/>
      <c r="F4" s="615"/>
      <c r="G4" s="615"/>
      <c r="H4" s="615"/>
      <c r="I4" s="615"/>
      <c r="J4" s="615"/>
      <c r="K4" s="615"/>
      <c r="L4" s="616"/>
      <c r="M4" s="15"/>
      <c r="N4" s="15"/>
      <c r="O4" s="14"/>
      <c r="P4" s="14"/>
    </row>
    <row r="5" spans="1:16" s="8" customFormat="1" x14ac:dyDescent="0.35">
      <c r="A5" s="13"/>
      <c r="B5" s="617" t="str">
        <f>Info!B5</f>
        <v>NQ-2026-003</v>
      </c>
      <c r="C5" s="618"/>
      <c r="D5" s="618"/>
      <c r="E5" s="618"/>
      <c r="F5" s="618"/>
      <c r="G5" s="618"/>
      <c r="H5" s="618"/>
      <c r="I5" s="618"/>
      <c r="J5" s="618"/>
      <c r="K5" s="618"/>
      <c r="L5" s="619"/>
      <c r="M5" s="15"/>
      <c r="N5" s="15"/>
      <c r="O5" s="14"/>
      <c r="P5" s="14"/>
    </row>
    <row r="6" spans="1:16" s="9" customFormat="1" x14ac:dyDescent="0.35">
      <c r="A6" s="13"/>
      <c r="B6" s="617" t="str">
        <f>Info!B6</f>
        <v>CÂBLES DE BÂTIMENTS NON ARMÉS</v>
      </c>
      <c r="C6" s="618"/>
      <c r="D6" s="618"/>
      <c r="E6" s="618"/>
      <c r="F6" s="618"/>
      <c r="G6" s="618"/>
      <c r="H6" s="618"/>
      <c r="I6" s="618"/>
      <c r="J6" s="618"/>
      <c r="K6" s="618"/>
      <c r="L6" s="619"/>
      <c r="M6" s="14"/>
      <c r="N6" s="14"/>
      <c r="O6" s="10"/>
      <c r="P6" s="10"/>
    </row>
    <row r="7" spans="1:16" s="9" customFormat="1" x14ac:dyDescent="0.35">
      <c r="A7" s="13"/>
      <c r="B7" s="242"/>
      <c r="C7" s="28"/>
      <c r="D7" s="28"/>
      <c r="E7" s="28"/>
      <c r="F7" s="28"/>
      <c r="G7" s="28"/>
      <c r="H7" s="28"/>
      <c r="I7" s="28"/>
      <c r="J7" s="28"/>
      <c r="K7" s="28"/>
      <c r="L7" s="243"/>
      <c r="M7" s="14"/>
      <c r="N7" s="14"/>
      <c r="O7" s="5"/>
    </row>
    <row r="8" spans="1:16" s="9" customFormat="1" x14ac:dyDescent="0.35">
      <c r="A8" s="13"/>
      <c r="B8" s="722" t="str">
        <f>Public!B8</f>
        <v>Les questions suivantes font référence aux marchandises comme définies dans la description du produit de l'onglet Intro.</v>
      </c>
      <c r="C8" s="723"/>
      <c r="D8" s="723"/>
      <c r="E8" s="723"/>
      <c r="F8" s="723"/>
      <c r="G8" s="723"/>
      <c r="H8" s="723"/>
      <c r="I8" s="723"/>
      <c r="J8" s="723"/>
      <c r="K8" s="723"/>
      <c r="L8" s="724"/>
      <c r="M8" s="14"/>
      <c r="N8" s="14"/>
      <c r="O8" s="10"/>
      <c r="P8" s="10"/>
    </row>
    <row r="9" spans="1:16" s="9" customFormat="1" x14ac:dyDescent="0.35">
      <c r="A9" s="13"/>
      <c r="B9" s="722" t="str">
        <f>Public!B9</f>
        <v>Des informations sur le produit et un glossaire de termes sont disponibles dans l'onglet Info.</v>
      </c>
      <c r="C9" s="723"/>
      <c r="D9" s="723"/>
      <c r="E9" s="723"/>
      <c r="F9" s="723"/>
      <c r="G9" s="723"/>
      <c r="H9" s="723"/>
      <c r="I9" s="723"/>
      <c r="J9" s="723"/>
      <c r="K9" s="723"/>
      <c r="L9" s="724"/>
      <c r="M9" s="14"/>
      <c r="N9" s="14"/>
      <c r="O9" s="10"/>
    </row>
    <row r="10" spans="1:16" s="9" customFormat="1" x14ac:dyDescent="0.35">
      <c r="A10" s="13"/>
      <c r="B10" s="722" t="str">
        <f>'Pro 1'!B10</f>
        <v xml:space="preserve">Utilisez l'onglet AddPro si vous avez besoin de plus d'espace.
</v>
      </c>
      <c r="C10" s="723"/>
      <c r="D10" s="723"/>
      <c r="E10" s="723"/>
      <c r="F10" s="723"/>
      <c r="G10" s="723"/>
      <c r="H10" s="723"/>
      <c r="I10" s="723"/>
      <c r="J10" s="723"/>
      <c r="K10" s="723"/>
      <c r="L10" s="724"/>
      <c r="M10" s="14"/>
      <c r="N10" s="14"/>
      <c r="O10" s="10"/>
      <c r="P10" s="10"/>
    </row>
    <row r="11" spans="1:16" s="9" customFormat="1" x14ac:dyDescent="0.35">
      <c r="A11" s="13"/>
      <c r="B11" s="244"/>
      <c r="C11" s="241"/>
      <c r="D11" s="241"/>
      <c r="E11" s="28"/>
      <c r="F11" s="28"/>
      <c r="G11" s="28"/>
      <c r="H11" s="28"/>
      <c r="I11" s="28"/>
      <c r="J11" s="28"/>
      <c r="K11" s="28"/>
      <c r="L11" s="243"/>
      <c r="M11" s="14"/>
      <c r="N11" s="14"/>
      <c r="O11" s="10"/>
      <c r="P11" s="10"/>
    </row>
    <row r="12" spans="1:16" s="9" customFormat="1" x14ac:dyDescent="0.35">
      <c r="A12" s="13"/>
      <c r="B12" s="722" t="str">
        <f>'Pro 2'!B12</f>
        <v>Pour les questions de cet onglet, notez ce qui suit :</v>
      </c>
      <c r="C12" s="723"/>
      <c r="D12" s="723"/>
      <c r="E12" s="723"/>
      <c r="F12" s="723"/>
      <c r="G12" s="723"/>
      <c r="H12" s="723"/>
      <c r="I12" s="723"/>
      <c r="J12" s="723"/>
      <c r="K12" s="723"/>
      <c r="L12" s="724"/>
      <c r="M12" s="14"/>
      <c r="N12" s="14"/>
      <c r="O12" s="10"/>
      <c r="P12" s="10"/>
    </row>
    <row r="13" spans="1:16" s="9" customFormat="1" x14ac:dyDescent="0.35">
      <c r="A13" s="5"/>
      <c r="B13" s="885" t="str">
        <f>IF(Intro!$G$21="English",O13,P13)</f>
        <v xml:space="preserve">• Les états doivent être établis selon la méthode du coût d'absorption totale et doivent être déclarés sur la base de l'année civile. </v>
      </c>
      <c r="C13" s="886"/>
      <c r="D13" s="886"/>
      <c r="E13" s="886"/>
      <c r="F13" s="886"/>
      <c r="G13" s="886"/>
      <c r="H13" s="886"/>
      <c r="I13" s="886"/>
      <c r="J13" s="886"/>
      <c r="K13" s="886"/>
      <c r="L13" s="887"/>
      <c r="M13" s="14"/>
      <c r="N13" s="14"/>
      <c r="O13" s="10" t="s">
        <v>584</v>
      </c>
      <c r="P13" s="10" t="s">
        <v>585</v>
      </c>
    </row>
    <row r="14" spans="1:16" s="9" customFormat="1" x14ac:dyDescent="0.35">
      <c r="A14" s="13"/>
      <c r="B14" s="725" t="str">
        <f>'Pro 2'!B16</f>
        <v>• Déclarez toutes les valeurs en dollars canadiens (CAD).</v>
      </c>
      <c r="C14" s="726"/>
      <c r="D14" s="726"/>
      <c r="E14" s="726"/>
      <c r="F14" s="726"/>
      <c r="G14" s="726"/>
      <c r="H14" s="726"/>
      <c r="I14" s="726"/>
      <c r="J14" s="726"/>
      <c r="K14" s="726"/>
      <c r="L14" s="727"/>
      <c r="M14" s="14"/>
      <c r="N14" s="14"/>
      <c r="O14" s="10"/>
      <c r="P14" s="10"/>
    </row>
    <row r="15" spans="1:16" s="9" customFormat="1" x14ac:dyDescent="0.35">
      <c r="A15" s="13"/>
      <c r="B15" s="22"/>
      <c r="C15" s="22"/>
      <c r="D15" s="22"/>
      <c r="E15" s="23"/>
      <c r="F15" s="23"/>
      <c r="G15" s="23"/>
      <c r="H15" s="23"/>
      <c r="I15" s="23"/>
      <c r="J15" s="23"/>
      <c r="K15" s="23"/>
      <c r="L15" s="23"/>
      <c r="O15" s="10"/>
      <c r="P15" s="10"/>
    </row>
    <row r="16" spans="1:16" x14ac:dyDescent="0.35">
      <c r="B16" s="599" t="str">
        <f>IF(Intro!$G$21="English",O16,P16)</f>
        <v>COÛT DES MARCHANDISES FABRIQUÉES - POUR LES MARCHANDISES SEULEMENT</v>
      </c>
      <c r="C16" s="600"/>
      <c r="D16" s="600"/>
      <c r="E16" s="600"/>
      <c r="F16" s="600"/>
      <c r="G16" s="600"/>
      <c r="H16" s="600"/>
      <c r="I16" s="600"/>
      <c r="J16" s="600"/>
      <c r="K16" s="600"/>
      <c r="L16" s="601"/>
      <c r="M16" s="2"/>
      <c r="O16" s="198" t="s">
        <v>836</v>
      </c>
      <c r="P16" s="198" t="s">
        <v>849</v>
      </c>
    </row>
    <row r="17" spans="2:16" x14ac:dyDescent="0.35">
      <c r="B17" s="710" t="s">
        <v>20</v>
      </c>
      <c r="C17" s="711"/>
      <c r="D17" s="711"/>
      <c r="E17" s="711"/>
      <c r="F17" s="711"/>
      <c r="G17" s="711"/>
      <c r="H17" s="711"/>
      <c r="I17" s="711"/>
      <c r="J17" s="711"/>
      <c r="K17" s="711"/>
      <c r="L17" s="712"/>
      <c r="M17" s="2"/>
    </row>
    <row r="18" spans="2:16" x14ac:dyDescent="0.35">
      <c r="B18" s="24"/>
      <c r="C18" s="25"/>
      <c r="D18" s="25"/>
      <c r="E18" s="26"/>
      <c r="F18" s="26"/>
      <c r="G18" s="26"/>
      <c r="H18" s="26"/>
      <c r="I18" s="26"/>
      <c r="J18" s="26"/>
      <c r="K18" s="26"/>
      <c r="L18" s="27"/>
      <c r="M18" s="2"/>
    </row>
    <row r="19" spans="2:16" x14ac:dyDescent="0.35">
      <c r="B19" s="602" t="str">
        <f>IF(Intro!$G$21="English",O19,P19)</f>
        <v>Fournissez l'état du coût des marchandises fabriquées de votre entreprise pour ses ventes au Canada et à l'exportation des marchandises produites au Canada.</v>
      </c>
      <c r="C19" s="603"/>
      <c r="D19" s="603"/>
      <c r="E19" s="603"/>
      <c r="F19" s="603"/>
      <c r="G19" s="603"/>
      <c r="H19" s="603"/>
      <c r="I19" s="603"/>
      <c r="J19" s="603"/>
      <c r="K19" s="603"/>
      <c r="L19" s="604"/>
      <c r="M19" s="2"/>
      <c r="O19" s="11" t="s">
        <v>417</v>
      </c>
      <c r="P19" s="2" t="s">
        <v>157</v>
      </c>
    </row>
    <row r="20" spans="2:16" x14ac:dyDescent="0.35">
      <c r="B20" s="159"/>
      <c r="C20" s="160"/>
      <c r="D20" s="25"/>
      <c r="E20" s="26"/>
      <c r="F20" s="26"/>
      <c r="G20" s="26"/>
      <c r="H20" s="26"/>
      <c r="I20" s="26"/>
      <c r="J20" s="26"/>
      <c r="K20" s="26"/>
      <c r="L20" s="27"/>
      <c r="M20" s="2"/>
      <c r="O20" s="11"/>
    </row>
    <row r="21" spans="2:16" x14ac:dyDescent="0.35">
      <c r="B21" s="863" t="str">
        <f>IF(Intro!$G$21="English",O21,P21)</f>
        <v>Pour les ventes au Canada</v>
      </c>
      <c r="C21" s="864"/>
      <c r="D21" s="864"/>
      <c r="E21" s="864"/>
      <c r="F21" s="865"/>
      <c r="G21" s="835">
        <f>Variables!$B$6</f>
        <v>2023</v>
      </c>
      <c r="H21" s="835">
        <f>G21+1</f>
        <v>2024</v>
      </c>
      <c r="I21" s="835">
        <f>H21+1</f>
        <v>2025</v>
      </c>
      <c r="J21" s="835" t="str">
        <f>J370</f>
        <v>janv.-mars 2025</v>
      </c>
      <c r="K21" s="769" t="str">
        <f>K370</f>
        <v>janv.-mars 2026</v>
      </c>
      <c r="L21" s="258"/>
      <c r="M21" s="2"/>
      <c r="O21" s="11" t="s">
        <v>43</v>
      </c>
      <c r="P21" s="11" t="s">
        <v>44</v>
      </c>
    </row>
    <row r="22" spans="2:16" x14ac:dyDescent="0.35">
      <c r="B22" s="866"/>
      <c r="C22" s="867"/>
      <c r="D22" s="867"/>
      <c r="E22" s="867"/>
      <c r="F22" s="868"/>
      <c r="G22" s="836"/>
      <c r="H22" s="836"/>
      <c r="I22" s="836"/>
      <c r="J22" s="836"/>
      <c r="K22" s="769"/>
      <c r="L22" s="258"/>
      <c r="M22" s="2"/>
      <c r="O22" s="11"/>
      <c r="P22" s="11"/>
    </row>
    <row r="23" spans="2:16" x14ac:dyDescent="0.35">
      <c r="B23" s="738" t="str">
        <f>'Pro 1'!B21</f>
        <v>Production pour les ventes au Canada</v>
      </c>
      <c r="C23" s="739"/>
      <c r="D23" s="739"/>
      <c r="E23" s="740"/>
      <c r="F23" s="205" t="str">
        <f>'Pro 1'!F21</f>
        <v>mètres</v>
      </c>
      <c r="G23" s="253">
        <f>'Pro 1'!G21</f>
        <v>0</v>
      </c>
      <c r="H23" s="253">
        <f>'Pro 1'!H21</f>
        <v>0</v>
      </c>
      <c r="I23" s="253">
        <f>'Pro 1'!I21</f>
        <v>0</v>
      </c>
      <c r="J23" s="253">
        <f>'Pro 1'!J21</f>
        <v>0</v>
      </c>
      <c r="K23" s="253">
        <f>'Pro 1'!K21</f>
        <v>0</v>
      </c>
      <c r="L23" s="258"/>
      <c r="M23" s="2"/>
    </row>
    <row r="24" spans="2:16" x14ac:dyDescent="0.35">
      <c r="B24" s="738" t="str">
        <f>IF(Intro!$G$21="English",O24,P24)</f>
        <v>Stock d'ouverture des marchandises en cours de fabrication</v>
      </c>
      <c r="C24" s="739"/>
      <c r="D24" s="739"/>
      <c r="E24" s="740"/>
      <c r="F24" s="205" t="s">
        <v>559</v>
      </c>
      <c r="G24" s="245"/>
      <c r="H24" s="245"/>
      <c r="I24" s="245"/>
      <c r="J24" s="245"/>
      <c r="K24" s="245"/>
      <c r="L24" s="258"/>
      <c r="M24" s="2"/>
      <c r="O24" s="2" t="s">
        <v>57</v>
      </c>
      <c r="P24" s="2" t="s">
        <v>58</v>
      </c>
    </row>
    <row r="25" spans="2:16" x14ac:dyDescent="0.35">
      <c r="B25" s="869" t="str">
        <f>IF(Intro!$G$21="English",O25,P25)</f>
        <v xml:space="preserve">La matière directe utilisée 1 - </v>
      </c>
      <c r="C25" s="870"/>
      <c r="D25" s="870"/>
      <c r="E25" s="871"/>
      <c r="F25" s="205" t="s">
        <v>559</v>
      </c>
      <c r="G25" s="245"/>
      <c r="H25" s="245"/>
      <c r="I25" s="245"/>
      <c r="J25" s="245"/>
      <c r="K25" s="245"/>
      <c r="L25" s="258"/>
      <c r="M25" s="2"/>
      <c r="O25" s="11" t="str">
        <f>"Direct material used 1 - "&amp;Public!D172</f>
        <v xml:space="preserve">Direct material used 1 - </v>
      </c>
      <c r="P25" s="2" t="str">
        <f>"La matière directe utilisée 1 - "&amp;Public!D172</f>
        <v xml:space="preserve">La matière directe utilisée 1 - </v>
      </c>
    </row>
    <row r="26" spans="2:16" x14ac:dyDescent="0.35">
      <c r="B26" s="869" t="str">
        <f>IF(Intro!$G$21="English",O26,P26)</f>
        <v xml:space="preserve">La matière directe utilisée 2 - </v>
      </c>
      <c r="C26" s="870"/>
      <c r="D26" s="870"/>
      <c r="E26" s="871"/>
      <c r="F26" s="205" t="s">
        <v>559</v>
      </c>
      <c r="G26" s="245"/>
      <c r="H26" s="245"/>
      <c r="I26" s="245"/>
      <c r="J26" s="245"/>
      <c r="K26" s="245"/>
      <c r="L26" s="258"/>
      <c r="M26" s="2"/>
      <c r="O26" s="11" t="str">
        <f>"Direct material used 2 - "&amp;Public!D173</f>
        <v xml:space="preserve">Direct material used 2 - </v>
      </c>
      <c r="P26" s="2" t="str">
        <f>"La matière directe utilisée 2 - "&amp;Public!D173</f>
        <v xml:space="preserve">La matière directe utilisée 2 - </v>
      </c>
    </row>
    <row r="27" spans="2:16" x14ac:dyDescent="0.35">
      <c r="B27" s="869" t="str">
        <f>IF(Intro!$G$21="English",O27,P27)</f>
        <v xml:space="preserve">La matière directe utilisée 3 - </v>
      </c>
      <c r="C27" s="870"/>
      <c r="D27" s="870"/>
      <c r="E27" s="871"/>
      <c r="F27" s="205" t="s">
        <v>559</v>
      </c>
      <c r="G27" s="245"/>
      <c r="H27" s="245"/>
      <c r="I27" s="245"/>
      <c r="J27" s="245"/>
      <c r="K27" s="245"/>
      <c r="L27" s="258"/>
      <c r="M27" s="2"/>
      <c r="O27" s="11" t="str">
        <f>"Direct material used 3 - "&amp;Public!D174</f>
        <v xml:space="preserve">Direct material used 3 - </v>
      </c>
      <c r="P27" s="2" t="str">
        <f>"La matière directe utilisée 3 - "&amp;Public!D174</f>
        <v xml:space="preserve">La matière directe utilisée 3 - </v>
      </c>
    </row>
    <row r="28" spans="2:16" x14ac:dyDescent="0.35">
      <c r="B28" s="869" t="str">
        <f>IF(Intro!$G$21="English",O28,P28)</f>
        <v>Toutes les autres matières directes utilisées</v>
      </c>
      <c r="C28" s="870"/>
      <c r="D28" s="870"/>
      <c r="E28" s="871"/>
      <c r="F28" s="205" t="s">
        <v>559</v>
      </c>
      <c r="G28" s="245"/>
      <c r="H28" s="245"/>
      <c r="I28" s="245"/>
      <c r="J28" s="245"/>
      <c r="K28" s="245"/>
      <c r="L28" s="258"/>
      <c r="M28" s="2"/>
      <c r="O28" s="2" t="s">
        <v>59</v>
      </c>
      <c r="P28" s="2" t="s">
        <v>60</v>
      </c>
    </row>
    <row r="29" spans="2:16" ht="14.15" customHeight="1" x14ac:dyDescent="0.35">
      <c r="B29" s="738" t="str">
        <f>IF(Intro!$G$21="English",O29,P29)</f>
        <v>Total - matériaux</v>
      </c>
      <c r="C29" s="739"/>
      <c r="D29" s="739"/>
      <c r="E29" s="740"/>
      <c r="F29" s="205" t="s">
        <v>559</v>
      </c>
      <c r="G29" s="253">
        <f>SUM(G25:G28)</f>
        <v>0</v>
      </c>
      <c r="H29" s="253">
        <f t="shared" ref="H29:K29" si="0">SUM(H25:H28)</f>
        <v>0</v>
      </c>
      <c r="I29" s="253">
        <f t="shared" si="0"/>
        <v>0</v>
      </c>
      <c r="J29" s="253">
        <f t="shared" si="0"/>
        <v>0</v>
      </c>
      <c r="K29" s="253">
        <f t="shared" si="0"/>
        <v>0</v>
      </c>
      <c r="L29" s="258"/>
      <c r="M29" s="2"/>
      <c r="O29" s="2" t="s">
        <v>834</v>
      </c>
      <c r="P29" s="2" t="s">
        <v>835</v>
      </c>
    </row>
    <row r="30" spans="2:16" x14ac:dyDescent="0.35">
      <c r="B30" s="738" t="str">
        <f>IF(Intro!$G$21="English",O30,P30)</f>
        <v xml:space="preserve">Le montant des salaires associé à l’emploi direct </v>
      </c>
      <c r="C30" s="739"/>
      <c r="D30" s="739"/>
      <c r="E30" s="740"/>
      <c r="F30" s="205" t="s">
        <v>559</v>
      </c>
      <c r="G30" s="245"/>
      <c r="H30" s="245"/>
      <c r="I30" s="245"/>
      <c r="J30" s="245"/>
      <c r="K30" s="245"/>
      <c r="L30" s="258"/>
      <c r="M30" s="2"/>
      <c r="O30" s="2" t="s">
        <v>61</v>
      </c>
      <c r="P30" s="2" t="s">
        <v>62</v>
      </c>
    </row>
    <row r="31" spans="2:16" x14ac:dyDescent="0.35">
      <c r="B31" s="738" t="str">
        <f>IF(Intro!$G$21="English",O31,P31)</f>
        <v>Charges indirectes de fabrication</v>
      </c>
      <c r="C31" s="739"/>
      <c r="D31" s="739"/>
      <c r="E31" s="740"/>
      <c r="F31" s="205" t="s">
        <v>559</v>
      </c>
      <c r="G31" s="245"/>
      <c r="H31" s="245"/>
      <c r="I31" s="245"/>
      <c r="J31" s="245"/>
      <c r="K31" s="245"/>
      <c r="L31" s="258"/>
      <c r="M31" s="2"/>
      <c r="O31" s="2" t="s">
        <v>418</v>
      </c>
      <c r="P31" s="2" t="s">
        <v>63</v>
      </c>
    </row>
    <row r="32" spans="2:16" x14ac:dyDescent="0.35">
      <c r="B32" s="738" t="str">
        <f>IF(Intro!$G$21="English",O32,P32)</f>
        <v>Stock de clôture des marchandises en cours de fabrication</v>
      </c>
      <c r="C32" s="739"/>
      <c r="D32" s="739"/>
      <c r="E32" s="740"/>
      <c r="F32" s="205" t="s">
        <v>559</v>
      </c>
      <c r="G32" s="245"/>
      <c r="H32" s="245"/>
      <c r="I32" s="245"/>
      <c r="J32" s="245"/>
      <c r="K32" s="245"/>
      <c r="L32" s="258"/>
      <c r="M32" s="2"/>
      <c r="O32" s="2" t="s">
        <v>213</v>
      </c>
      <c r="P32" s="2" t="s">
        <v>593</v>
      </c>
    </row>
    <row r="33" spans="1:16" s="3" customFormat="1" x14ac:dyDescent="0.35">
      <c r="A33" s="18"/>
      <c r="B33" s="877" t="str">
        <f>IF(Intro!$G$21="English",O33,P33)</f>
        <v xml:space="preserve">Coût des marchandises fabriquées </v>
      </c>
      <c r="C33" s="878"/>
      <c r="D33" s="878"/>
      <c r="E33" s="879"/>
      <c r="F33" s="205" t="s">
        <v>559</v>
      </c>
      <c r="G33" s="246">
        <f>G24+G29+G30+G31-G32</f>
        <v>0</v>
      </c>
      <c r="H33" s="246">
        <f t="shared" ref="H33:K33" si="1">H24+H29+H30+H31-H32</f>
        <v>0</v>
      </c>
      <c r="I33" s="246">
        <f t="shared" si="1"/>
        <v>0</v>
      </c>
      <c r="J33" s="246">
        <f t="shared" si="1"/>
        <v>0</v>
      </c>
      <c r="K33" s="246">
        <f t="shared" si="1"/>
        <v>0</v>
      </c>
      <c r="L33" s="240"/>
      <c r="O33" s="3" t="s">
        <v>64</v>
      </c>
      <c r="P33" s="3" t="s">
        <v>65</v>
      </c>
    </row>
    <row r="34" spans="1:16" x14ac:dyDescent="0.35">
      <c r="B34" s="159"/>
      <c r="C34" s="160"/>
      <c r="D34" s="2"/>
      <c r="E34" s="2"/>
      <c r="F34" s="2"/>
      <c r="G34" s="25"/>
      <c r="H34" s="26"/>
      <c r="I34" s="26"/>
      <c r="J34" s="26"/>
      <c r="K34" s="26"/>
      <c r="L34" s="27"/>
      <c r="M34" s="2"/>
      <c r="O34" s="11"/>
    </row>
    <row r="35" spans="1:16" s="3" customFormat="1" ht="14.15" customHeight="1" x14ac:dyDescent="0.35">
      <c r="A35" s="18"/>
      <c r="B35" s="602" t="str">
        <f>IF(Intro!$G$21="English",O35,P35)</f>
        <v>Expliquez toute variation importante entre les périodes et toute irrégularité tels que des montants négatifs dans les montants indiqués ci-dessus.</v>
      </c>
      <c r="C35" s="603"/>
      <c r="D35" s="603"/>
      <c r="E35" s="603"/>
      <c r="F35" s="603"/>
      <c r="G35" s="603"/>
      <c r="H35" s="603"/>
      <c r="I35" s="603"/>
      <c r="J35" s="603"/>
      <c r="K35" s="603"/>
      <c r="L35" s="604"/>
      <c r="O35" s="2" t="s">
        <v>705</v>
      </c>
      <c r="P35" s="2" t="s">
        <v>833</v>
      </c>
    </row>
    <row r="36" spans="1:16" s="3" customFormat="1" x14ac:dyDescent="0.35">
      <c r="A36" s="18"/>
      <c r="B36" s="223"/>
      <c r="C36" s="151"/>
      <c r="D36" s="151"/>
      <c r="E36" s="151"/>
      <c r="F36" s="151"/>
      <c r="L36" s="240"/>
    </row>
    <row r="37" spans="1:16" s="3" customFormat="1" x14ac:dyDescent="0.35">
      <c r="A37" s="18"/>
      <c r="B37" s="882"/>
      <c r="C37" s="883"/>
      <c r="D37" s="883"/>
      <c r="E37" s="883"/>
      <c r="F37" s="883"/>
      <c r="G37" s="883"/>
      <c r="H37" s="883"/>
      <c r="I37" s="883"/>
      <c r="J37" s="883"/>
      <c r="K37" s="883"/>
      <c r="L37" s="884"/>
    </row>
    <row r="38" spans="1:16" s="3" customFormat="1" x14ac:dyDescent="0.35">
      <c r="A38" s="18"/>
      <c r="B38" s="882"/>
      <c r="C38" s="883"/>
      <c r="D38" s="883"/>
      <c r="E38" s="883"/>
      <c r="F38" s="883"/>
      <c r="G38" s="883"/>
      <c r="H38" s="883"/>
      <c r="I38" s="883"/>
      <c r="J38" s="883"/>
      <c r="K38" s="883"/>
      <c r="L38" s="884"/>
      <c r="O38" s="2"/>
      <c r="P38" s="2"/>
    </row>
    <row r="39" spans="1:16" s="3" customFormat="1" x14ac:dyDescent="0.35">
      <c r="A39" s="18"/>
      <c r="B39" s="882"/>
      <c r="C39" s="883"/>
      <c r="D39" s="883"/>
      <c r="E39" s="883"/>
      <c r="F39" s="883"/>
      <c r="G39" s="883"/>
      <c r="H39" s="883"/>
      <c r="I39" s="883"/>
      <c r="J39" s="883"/>
      <c r="K39" s="883"/>
      <c r="L39" s="884"/>
      <c r="O39" s="2"/>
      <c r="P39" s="2"/>
    </row>
    <row r="40" spans="1:16" s="3" customFormat="1" x14ac:dyDescent="0.35">
      <c r="A40" s="18"/>
      <c r="B40" s="882"/>
      <c r="C40" s="883"/>
      <c r="D40" s="883"/>
      <c r="E40" s="883"/>
      <c r="F40" s="883"/>
      <c r="G40" s="883"/>
      <c r="H40" s="883"/>
      <c r="I40" s="883"/>
      <c r="J40" s="883"/>
      <c r="K40" s="883"/>
      <c r="L40" s="884"/>
      <c r="O40" s="2"/>
      <c r="P40" s="2"/>
    </row>
    <row r="41" spans="1:16" s="3" customFormat="1" x14ac:dyDescent="0.35">
      <c r="A41" s="18"/>
      <c r="B41" s="882"/>
      <c r="C41" s="883"/>
      <c r="D41" s="883"/>
      <c r="E41" s="883"/>
      <c r="F41" s="883"/>
      <c r="G41" s="883"/>
      <c r="H41" s="883"/>
      <c r="I41" s="883"/>
      <c r="J41" s="883"/>
      <c r="K41" s="883"/>
      <c r="L41" s="884"/>
    </row>
    <row r="42" spans="1:16" s="3" customFormat="1" x14ac:dyDescent="0.35">
      <c r="A42" s="18"/>
      <c r="B42" s="882"/>
      <c r="C42" s="883"/>
      <c r="D42" s="883"/>
      <c r="E42" s="883"/>
      <c r="F42" s="883"/>
      <c r="G42" s="883"/>
      <c r="H42" s="883"/>
      <c r="I42" s="883"/>
      <c r="J42" s="883"/>
      <c r="K42" s="883"/>
      <c r="L42" s="884"/>
    </row>
    <row r="43" spans="1:16" s="3" customFormat="1" x14ac:dyDescent="0.35">
      <c r="A43" s="18"/>
      <c r="B43" s="882"/>
      <c r="C43" s="883"/>
      <c r="D43" s="883"/>
      <c r="E43" s="883"/>
      <c r="F43" s="883"/>
      <c r="G43" s="883"/>
      <c r="H43" s="883"/>
      <c r="I43" s="883"/>
      <c r="J43" s="883"/>
      <c r="K43" s="883"/>
      <c r="L43" s="884"/>
    </row>
    <row r="44" spans="1:16" s="3" customFormat="1" x14ac:dyDescent="0.35">
      <c r="A44" s="18"/>
      <c r="B44" s="882"/>
      <c r="C44" s="883"/>
      <c r="D44" s="883"/>
      <c r="E44" s="883"/>
      <c r="F44" s="883"/>
      <c r="G44" s="883"/>
      <c r="H44" s="883"/>
      <c r="I44" s="883"/>
      <c r="J44" s="883"/>
      <c r="K44" s="883"/>
      <c r="L44" s="884"/>
    </row>
    <row r="45" spans="1:16" x14ac:dyDescent="0.35">
      <c r="B45" s="159"/>
      <c r="C45" s="160"/>
      <c r="D45" s="2"/>
      <c r="E45" s="2"/>
      <c r="F45" s="2"/>
      <c r="G45" s="25"/>
      <c r="H45" s="26"/>
      <c r="I45" s="26"/>
      <c r="J45" s="26"/>
      <c r="K45" s="26"/>
      <c r="L45" s="27"/>
      <c r="M45" s="2"/>
      <c r="O45" s="11"/>
    </row>
    <row r="46" spans="1:16" x14ac:dyDescent="0.35">
      <c r="B46" s="863" t="str">
        <f>IF(Intro!$G$21="English",O46,P46)</f>
        <v>Pour les ventes à l'exportation</v>
      </c>
      <c r="C46" s="864"/>
      <c r="D46" s="864"/>
      <c r="E46" s="864"/>
      <c r="F46" s="865"/>
      <c r="G46" s="835">
        <f>Variables!$B$6</f>
        <v>2023</v>
      </c>
      <c r="H46" s="835">
        <f>G46+1</f>
        <v>2024</v>
      </c>
      <c r="I46" s="835">
        <f>H46+1</f>
        <v>2025</v>
      </c>
      <c r="J46" s="835" t="str">
        <f>J21</f>
        <v>janv.-mars 2025</v>
      </c>
      <c r="K46" s="769" t="str">
        <f>K21</f>
        <v>janv.-mars 2026</v>
      </c>
      <c r="L46" s="258"/>
      <c r="M46" s="2"/>
      <c r="O46" s="11" t="s">
        <v>214</v>
      </c>
      <c r="P46" s="11" t="s">
        <v>215</v>
      </c>
    </row>
    <row r="47" spans="1:16" x14ac:dyDescent="0.35">
      <c r="B47" s="866"/>
      <c r="C47" s="867"/>
      <c r="D47" s="867"/>
      <c r="E47" s="867"/>
      <c r="F47" s="868"/>
      <c r="G47" s="836"/>
      <c r="H47" s="836"/>
      <c r="I47" s="836"/>
      <c r="J47" s="836"/>
      <c r="K47" s="769"/>
      <c r="L47" s="258"/>
      <c r="M47" s="2"/>
      <c r="O47" s="11"/>
      <c r="P47" s="11"/>
    </row>
    <row r="48" spans="1:16" x14ac:dyDescent="0.35">
      <c r="B48" s="738" t="str">
        <f>'Pro 1'!B22</f>
        <v>Production pour les ventes à l'exportation</v>
      </c>
      <c r="C48" s="739"/>
      <c r="D48" s="739"/>
      <c r="E48" s="740"/>
      <c r="F48" s="205" t="str">
        <f>'Pro 1'!F21</f>
        <v>mètres</v>
      </c>
      <c r="G48" s="253">
        <f>'Pro 1'!G22</f>
        <v>0</v>
      </c>
      <c r="H48" s="253">
        <f>'Pro 1'!H22</f>
        <v>0</v>
      </c>
      <c r="I48" s="253">
        <f>'Pro 1'!I22</f>
        <v>0</v>
      </c>
      <c r="J48" s="253">
        <f>'Pro 1'!J22</f>
        <v>0</v>
      </c>
      <c r="K48" s="253">
        <f>'Pro 1'!K22</f>
        <v>0</v>
      </c>
      <c r="L48" s="258"/>
      <c r="M48" s="2"/>
    </row>
    <row r="49" spans="1:16" x14ac:dyDescent="0.35">
      <c r="B49" s="738" t="str">
        <f t="shared" ref="B49:B58" si="2">B24</f>
        <v>Stock d'ouverture des marchandises en cours de fabrication</v>
      </c>
      <c r="C49" s="739"/>
      <c r="D49" s="739"/>
      <c r="E49" s="740"/>
      <c r="F49" s="213" t="s">
        <v>559</v>
      </c>
      <c r="G49" s="249"/>
      <c r="H49" s="249"/>
      <c r="I49" s="249"/>
      <c r="J49" s="249"/>
      <c r="K49" s="249"/>
      <c r="L49" s="258"/>
      <c r="M49" s="2"/>
    </row>
    <row r="50" spans="1:16" x14ac:dyDescent="0.35">
      <c r="B50" s="869" t="str">
        <f t="shared" si="2"/>
        <v xml:space="preserve">La matière directe utilisée 1 - </v>
      </c>
      <c r="C50" s="870"/>
      <c r="D50" s="870"/>
      <c r="E50" s="871"/>
      <c r="F50" s="213" t="s">
        <v>559</v>
      </c>
      <c r="G50" s="249"/>
      <c r="H50" s="249"/>
      <c r="I50" s="249"/>
      <c r="J50" s="249"/>
      <c r="K50" s="249"/>
      <c r="L50" s="258"/>
      <c r="M50" s="2"/>
      <c r="O50" s="11"/>
    </row>
    <row r="51" spans="1:16" x14ac:dyDescent="0.35">
      <c r="B51" s="869" t="str">
        <f t="shared" si="2"/>
        <v xml:space="preserve">La matière directe utilisée 2 - </v>
      </c>
      <c r="C51" s="870"/>
      <c r="D51" s="870"/>
      <c r="E51" s="871"/>
      <c r="F51" s="213" t="s">
        <v>559</v>
      </c>
      <c r="G51" s="249"/>
      <c r="H51" s="249"/>
      <c r="I51" s="249"/>
      <c r="J51" s="249"/>
      <c r="K51" s="249"/>
      <c r="L51" s="258"/>
      <c r="M51" s="2"/>
      <c r="O51" s="11"/>
    </row>
    <row r="52" spans="1:16" x14ac:dyDescent="0.35">
      <c r="B52" s="869" t="str">
        <f t="shared" si="2"/>
        <v xml:space="preserve">La matière directe utilisée 3 - </v>
      </c>
      <c r="C52" s="870"/>
      <c r="D52" s="870"/>
      <c r="E52" s="871"/>
      <c r="F52" s="213" t="s">
        <v>559</v>
      </c>
      <c r="G52" s="249"/>
      <c r="H52" s="249"/>
      <c r="I52" s="249"/>
      <c r="J52" s="249"/>
      <c r="K52" s="249"/>
      <c r="L52" s="258"/>
      <c r="M52" s="2"/>
      <c r="O52" s="11"/>
    </row>
    <row r="53" spans="1:16" x14ac:dyDescent="0.35">
      <c r="B53" s="869" t="str">
        <f t="shared" si="2"/>
        <v>Toutes les autres matières directes utilisées</v>
      </c>
      <c r="C53" s="870"/>
      <c r="D53" s="870"/>
      <c r="E53" s="871"/>
      <c r="F53" s="213" t="s">
        <v>559</v>
      </c>
      <c r="G53" s="249"/>
      <c r="H53" s="249"/>
      <c r="I53" s="249"/>
      <c r="J53" s="249"/>
      <c r="K53" s="249"/>
      <c r="L53" s="258"/>
      <c r="M53" s="2"/>
    </row>
    <row r="54" spans="1:16" ht="14.15" customHeight="1" x14ac:dyDescent="0.35">
      <c r="B54" s="738" t="str">
        <f t="shared" si="2"/>
        <v>Total - matériaux</v>
      </c>
      <c r="C54" s="739"/>
      <c r="D54" s="739"/>
      <c r="E54" s="740"/>
      <c r="F54" s="205" t="s">
        <v>559</v>
      </c>
      <c r="G54" s="253">
        <f>SUM(G50:G53)</f>
        <v>0</v>
      </c>
      <c r="H54" s="253">
        <f t="shared" ref="H54:K54" si="3">SUM(H50:H53)</f>
        <v>0</v>
      </c>
      <c r="I54" s="253">
        <f t="shared" si="3"/>
        <v>0</v>
      </c>
      <c r="J54" s="253">
        <f t="shared" si="3"/>
        <v>0</v>
      </c>
      <c r="K54" s="253">
        <f t="shared" si="3"/>
        <v>0</v>
      </c>
      <c r="L54" s="258"/>
      <c r="M54" s="2"/>
    </row>
    <row r="55" spans="1:16" x14ac:dyDescent="0.35">
      <c r="B55" s="738" t="str">
        <f t="shared" si="2"/>
        <v xml:space="preserve">Le montant des salaires associé à l’emploi direct </v>
      </c>
      <c r="C55" s="739"/>
      <c r="D55" s="739"/>
      <c r="E55" s="740"/>
      <c r="F55" s="213" t="s">
        <v>559</v>
      </c>
      <c r="G55" s="249"/>
      <c r="H55" s="249"/>
      <c r="I55" s="249"/>
      <c r="J55" s="249"/>
      <c r="K55" s="249"/>
      <c r="L55" s="258"/>
      <c r="M55" s="2"/>
    </row>
    <row r="56" spans="1:16" x14ac:dyDescent="0.35">
      <c r="B56" s="738" t="str">
        <f t="shared" si="2"/>
        <v>Charges indirectes de fabrication</v>
      </c>
      <c r="C56" s="739"/>
      <c r="D56" s="739"/>
      <c r="E56" s="740"/>
      <c r="F56" s="213" t="s">
        <v>559</v>
      </c>
      <c r="G56" s="249"/>
      <c r="H56" s="249"/>
      <c r="I56" s="249"/>
      <c r="J56" s="249"/>
      <c r="K56" s="249"/>
      <c r="L56" s="258"/>
      <c r="M56" s="2"/>
    </row>
    <row r="57" spans="1:16" x14ac:dyDescent="0.35">
      <c r="B57" s="738" t="str">
        <f t="shared" si="2"/>
        <v>Stock de clôture des marchandises en cours de fabrication</v>
      </c>
      <c r="C57" s="739"/>
      <c r="D57" s="739"/>
      <c r="E57" s="740"/>
      <c r="F57" s="213" t="s">
        <v>559</v>
      </c>
      <c r="G57" s="249"/>
      <c r="H57" s="249"/>
      <c r="I57" s="249"/>
      <c r="J57" s="249"/>
      <c r="K57" s="249"/>
      <c r="L57" s="258"/>
      <c r="M57" s="2"/>
    </row>
    <row r="58" spans="1:16" s="3" customFormat="1" x14ac:dyDescent="0.35">
      <c r="A58" s="18"/>
      <c r="B58" s="877" t="str">
        <f t="shared" si="2"/>
        <v xml:space="preserve">Coût des marchandises fabriquées </v>
      </c>
      <c r="C58" s="878"/>
      <c r="D58" s="878"/>
      <c r="E58" s="879"/>
      <c r="F58" s="213" t="s">
        <v>559</v>
      </c>
      <c r="G58" s="246">
        <f>G49+G54+G55+G56-G57</f>
        <v>0</v>
      </c>
      <c r="H58" s="246">
        <f t="shared" ref="H58:K58" si="4">H49+H54+H55+H56-H57</f>
        <v>0</v>
      </c>
      <c r="I58" s="246">
        <f t="shared" si="4"/>
        <v>0</v>
      </c>
      <c r="J58" s="246">
        <f t="shared" si="4"/>
        <v>0</v>
      </c>
      <c r="K58" s="246">
        <f t="shared" si="4"/>
        <v>0</v>
      </c>
      <c r="L58" s="240"/>
    </row>
    <row r="59" spans="1:16" x14ac:dyDescent="0.35">
      <c r="B59" s="169"/>
      <c r="C59" s="170"/>
      <c r="D59" s="170"/>
      <c r="E59" s="170"/>
      <c r="F59" s="170"/>
      <c r="G59" s="170"/>
      <c r="H59" s="170"/>
      <c r="I59" s="170"/>
      <c r="J59" s="170"/>
      <c r="K59" s="170"/>
      <c r="L59" s="171"/>
      <c r="M59" s="2"/>
    </row>
    <row r="60" spans="1:16" s="3" customFormat="1" x14ac:dyDescent="0.35">
      <c r="A60" s="18"/>
      <c r="B60" s="602" t="str">
        <f>B35</f>
        <v>Expliquez toute variation importante entre les périodes et toute irrégularité tels que des montants négatifs dans les montants indiqués ci-dessus.</v>
      </c>
      <c r="C60" s="603"/>
      <c r="D60" s="603"/>
      <c r="E60" s="603"/>
      <c r="F60" s="603"/>
      <c r="G60" s="603"/>
      <c r="H60" s="603"/>
      <c r="I60" s="603"/>
      <c r="J60" s="603"/>
      <c r="K60" s="603"/>
      <c r="L60" s="604"/>
      <c r="O60" s="2"/>
      <c r="P60" s="2"/>
    </row>
    <row r="61" spans="1:16" s="3" customFormat="1" x14ac:dyDescent="0.35">
      <c r="A61" s="18"/>
      <c r="B61" s="223"/>
      <c r="C61" s="151"/>
      <c r="D61" s="151"/>
      <c r="E61" s="151"/>
      <c r="F61" s="151"/>
      <c r="L61" s="240"/>
    </row>
    <row r="62" spans="1:16" s="3" customFormat="1" x14ac:dyDescent="0.35">
      <c r="A62" s="18"/>
      <c r="B62" s="882"/>
      <c r="C62" s="883"/>
      <c r="D62" s="883"/>
      <c r="E62" s="883"/>
      <c r="F62" s="883"/>
      <c r="G62" s="883"/>
      <c r="H62" s="883"/>
      <c r="I62" s="883"/>
      <c r="J62" s="883"/>
      <c r="K62" s="883"/>
      <c r="L62" s="884"/>
    </row>
    <row r="63" spans="1:16" s="3" customFormat="1" x14ac:dyDescent="0.35">
      <c r="A63" s="18"/>
      <c r="B63" s="882"/>
      <c r="C63" s="883"/>
      <c r="D63" s="883"/>
      <c r="E63" s="883"/>
      <c r="F63" s="883"/>
      <c r="G63" s="883"/>
      <c r="H63" s="883"/>
      <c r="I63" s="883"/>
      <c r="J63" s="883"/>
      <c r="K63" s="883"/>
      <c r="L63" s="884"/>
      <c r="O63" s="2"/>
      <c r="P63" s="2"/>
    </row>
    <row r="64" spans="1:16" s="3" customFormat="1" x14ac:dyDescent="0.35">
      <c r="A64" s="18"/>
      <c r="B64" s="882"/>
      <c r="C64" s="883"/>
      <c r="D64" s="883"/>
      <c r="E64" s="883"/>
      <c r="F64" s="883"/>
      <c r="G64" s="883"/>
      <c r="H64" s="883"/>
      <c r="I64" s="883"/>
      <c r="J64" s="883"/>
      <c r="K64" s="883"/>
      <c r="L64" s="884"/>
      <c r="O64" s="2"/>
      <c r="P64" s="2"/>
    </row>
    <row r="65" spans="1:16" s="3" customFormat="1" x14ac:dyDescent="0.35">
      <c r="A65" s="18"/>
      <c r="B65" s="882"/>
      <c r="C65" s="883"/>
      <c r="D65" s="883"/>
      <c r="E65" s="883"/>
      <c r="F65" s="883"/>
      <c r="G65" s="883"/>
      <c r="H65" s="883"/>
      <c r="I65" s="883"/>
      <c r="J65" s="883"/>
      <c r="K65" s="883"/>
      <c r="L65" s="884"/>
      <c r="O65" s="2"/>
      <c r="P65" s="2"/>
    </row>
    <row r="66" spans="1:16" s="3" customFormat="1" x14ac:dyDescent="0.35">
      <c r="A66" s="18"/>
      <c r="B66" s="882"/>
      <c r="C66" s="883"/>
      <c r="D66" s="883"/>
      <c r="E66" s="883"/>
      <c r="F66" s="883"/>
      <c r="G66" s="883"/>
      <c r="H66" s="883"/>
      <c r="I66" s="883"/>
      <c r="J66" s="883"/>
      <c r="K66" s="883"/>
      <c r="L66" s="884"/>
    </row>
    <row r="67" spans="1:16" s="3" customFormat="1" x14ac:dyDescent="0.35">
      <c r="A67" s="18"/>
      <c r="B67" s="882"/>
      <c r="C67" s="883"/>
      <c r="D67" s="883"/>
      <c r="E67" s="883"/>
      <c r="F67" s="883"/>
      <c r="G67" s="883"/>
      <c r="H67" s="883"/>
      <c r="I67" s="883"/>
      <c r="J67" s="883"/>
      <c r="K67" s="883"/>
      <c r="L67" s="884"/>
    </row>
    <row r="68" spans="1:16" s="3" customFormat="1" x14ac:dyDescent="0.35">
      <c r="A68" s="18"/>
      <c r="B68" s="882"/>
      <c r="C68" s="883"/>
      <c r="D68" s="883"/>
      <c r="E68" s="883"/>
      <c r="F68" s="883"/>
      <c r="G68" s="883"/>
      <c r="H68" s="883"/>
      <c r="I68" s="883"/>
      <c r="J68" s="883"/>
      <c r="K68" s="883"/>
      <c r="L68" s="884"/>
    </row>
    <row r="69" spans="1:16" s="3" customFormat="1" x14ac:dyDescent="0.35">
      <c r="A69" s="18"/>
      <c r="B69" s="882"/>
      <c r="C69" s="883"/>
      <c r="D69" s="883"/>
      <c r="E69" s="883"/>
      <c r="F69" s="883"/>
      <c r="G69" s="883"/>
      <c r="H69" s="883"/>
      <c r="I69" s="883"/>
      <c r="J69" s="883"/>
      <c r="K69" s="883"/>
      <c r="L69" s="884"/>
    </row>
    <row r="70" spans="1:16" x14ac:dyDescent="0.35">
      <c r="B70" s="159"/>
      <c r="C70" s="160"/>
      <c r="D70" s="2"/>
      <c r="E70" s="2"/>
      <c r="F70" s="2"/>
      <c r="G70" s="25"/>
      <c r="H70" s="26"/>
      <c r="I70" s="26"/>
      <c r="J70" s="26"/>
      <c r="K70" s="26"/>
      <c r="L70" s="27"/>
      <c r="M70" s="2"/>
      <c r="O70" s="11"/>
    </row>
    <row r="71" spans="1:16" s="3" customFormat="1" x14ac:dyDescent="0.35">
      <c r="A71" s="12"/>
      <c r="B71" s="710" t="s">
        <v>21</v>
      </c>
      <c r="C71" s="711"/>
      <c r="D71" s="711"/>
      <c r="E71" s="711"/>
      <c r="F71" s="711"/>
      <c r="G71" s="711"/>
      <c r="H71" s="711"/>
      <c r="I71" s="711"/>
      <c r="J71" s="711"/>
      <c r="K71" s="711"/>
      <c r="L71" s="712"/>
      <c r="M71" s="167"/>
    </row>
    <row r="72" spans="1:16" x14ac:dyDescent="0.35">
      <c r="B72" s="169"/>
      <c r="C72" s="170"/>
      <c r="D72" s="170"/>
      <c r="E72" s="170"/>
      <c r="F72" s="170"/>
      <c r="G72" s="170"/>
      <c r="H72" s="170"/>
      <c r="I72" s="170"/>
      <c r="J72" s="170"/>
      <c r="K72" s="170"/>
      <c r="L72" s="171"/>
      <c r="M72" s="2"/>
    </row>
    <row r="73" spans="1:16" x14ac:dyDescent="0.35">
      <c r="B73" s="608" t="str">
        <f>IF(Intro!$G$21="English",O73,P73)</f>
        <v>Décrivez les plans de votre entreprise pour gérer le coût des matières au cours des deux prochaines années. Fournissez les motifs et les hypothèses sous-tendant ces objectifs et ces stratégies.</v>
      </c>
      <c r="C73" s="609"/>
      <c r="D73" s="609"/>
      <c r="E73" s="609"/>
      <c r="F73" s="609"/>
      <c r="G73" s="609"/>
      <c r="H73" s="609"/>
      <c r="I73" s="609"/>
      <c r="J73" s="609"/>
      <c r="K73" s="609"/>
      <c r="L73" s="610"/>
      <c r="M73" s="2"/>
      <c r="O73" s="2" t="s">
        <v>560</v>
      </c>
      <c r="P73" s="2" t="s">
        <v>255</v>
      </c>
    </row>
    <row r="74" spans="1:16" x14ac:dyDescent="0.35">
      <c r="B74" s="169"/>
      <c r="C74" s="170"/>
      <c r="D74" s="170"/>
      <c r="E74" s="170"/>
      <c r="F74" s="170"/>
      <c r="G74" s="170"/>
      <c r="H74" s="170"/>
      <c r="I74" s="170"/>
      <c r="J74" s="170"/>
      <c r="K74" s="170"/>
      <c r="L74" s="171"/>
      <c r="M74" s="2"/>
    </row>
    <row r="75" spans="1:16" s="3" customFormat="1" x14ac:dyDescent="0.35">
      <c r="A75" s="12"/>
      <c r="B75" s="704"/>
      <c r="C75" s="705"/>
      <c r="D75" s="705"/>
      <c r="E75" s="705"/>
      <c r="F75" s="705"/>
      <c r="G75" s="705"/>
      <c r="H75" s="705"/>
      <c r="I75" s="705"/>
      <c r="J75" s="705"/>
      <c r="K75" s="705"/>
      <c r="L75" s="706"/>
      <c r="M75" s="152"/>
      <c r="O75" s="154"/>
      <c r="P75" s="154"/>
    </row>
    <row r="76" spans="1:16" s="3" customFormat="1" x14ac:dyDescent="0.35">
      <c r="A76" s="12"/>
      <c r="B76" s="704"/>
      <c r="C76" s="705"/>
      <c r="D76" s="705"/>
      <c r="E76" s="705"/>
      <c r="F76" s="705"/>
      <c r="G76" s="705"/>
      <c r="H76" s="705"/>
      <c r="I76" s="705"/>
      <c r="J76" s="705"/>
      <c r="K76" s="705"/>
      <c r="L76" s="706"/>
      <c r="M76" s="152"/>
      <c r="O76" s="154"/>
      <c r="P76" s="154"/>
    </row>
    <row r="77" spans="1:16" s="3" customFormat="1" x14ac:dyDescent="0.35">
      <c r="A77" s="12"/>
      <c r="B77" s="704"/>
      <c r="C77" s="705"/>
      <c r="D77" s="705"/>
      <c r="E77" s="705"/>
      <c r="F77" s="705"/>
      <c r="G77" s="705"/>
      <c r="H77" s="705"/>
      <c r="I77" s="705"/>
      <c r="J77" s="705"/>
      <c r="K77" s="705"/>
      <c r="L77" s="706"/>
      <c r="M77" s="152"/>
      <c r="O77" s="154"/>
      <c r="P77" s="154"/>
    </row>
    <row r="78" spans="1:16" s="3" customFormat="1" x14ac:dyDescent="0.35">
      <c r="A78" s="12"/>
      <c r="B78" s="704"/>
      <c r="C78" s="705"/>
      <c r="D78" s="705"/>
      <c r="E78" s="705"/>
      <c r="F78" s="705"/>
      <c r="G78" s="705"/>
      <c r="H78" s="705"/>
      <c r="I78" s="705"/>
      <c r="J78" s="705"/>
      <c r="K78" s="705"/>
      <c r="L78" s="706"/>
      <c r="M78" s="152"/>
      <c r="O78" s="154"/>
      <c r="P78" s="154"/>
    </row>
    <row r="79" spans="1:16" s="3" customFormat="1" x14ac:dyDescent="0.35">
      <c r="A79" s="12"/>
      <c r="B79" s="704"/>
      <c r="C79" s="705"/>
      <c r="D79" s="705"/>
      <c r="E79" s="705"/>
      <c r="F79" s="705"/>
      <c r="G79" s="705"/>
      <c r="H79" s="705"/>
      <c r="I79" s="705"/>
      <c r="J79" s="705"/>
      <c r="K79" s="705"/>
      <c r="L79" s="706"/>
      <c r="M79" s="152"/>
      <c r="O79" s="154"/>
      <c r="P79" s="154"/>
    </row>
    <row r="80" spans="1:16" s="3" customFormat="1" x14ac:dyDescent="0.35">
      <c r="A80" s="12"/>
      <c r="B80" s="704"/>
      <c r="C80" s="705"/>
      <c r="D80" s="705"/>
      <c r="E80" s="705"/>
      <c r="F80" s="705"/>
      <c r="G80" s="705"/>
      <c r="H80" s="705"/>
      <c r="I80" s="705"/>
      <c r="J80" s="705"/>
      <c r="K80" s="705"/>
      <c r="L80" s="706"/>
      <c r="M80" s="152"/>
      <c r="O80" s="154"/>
      <c r="P80" s="154"/>
    </row>
    <row r="81" spans="1:16" s="3" customFormat="1" x14ac:dyDescent="0.35">
      <c r="A81" s="12"/>
      <c r="B81" s="704"/>
      <c r="C81" s="705"/>
      <c r="D81" s="705"/>
      <c r="E81" s="705"/>
      <c r="F81" s="705"/>
      <c r="G81" s="705"/>
      <c r="H81" s="705"/>
      <c r="I81" s="705"/>
      <c r="J81" s="705"/>
      <c r="K81" s="705"/>
      <c r="L81" s="706"/>
      <c r="M81" s="152"/>
      <c r="O81" s="154"/>
      <c r="P81" s="154"/>
    </row>
    <row r="82" spans="1:16" s="3" customFormat="1" x14ac:dyDescent="0.35">
      <c r="A82" s="12"/>
      <c r="B82" s="704"/>
      <c r="C82" s="705"/>
      <c r="D82" s="705"/>
      <c r="E82" s="705"/>
      <c r="F82" s="705"/>
      <c r="G82" s="705"/>
      <c r="H82" s="705"/>
      <c r="I82" s="705"/>
      <c r="J82" s="705"/>
      <c r="K82" s="705"/>
      <c r="L82" s="706"/>
      <c r="M82" s="152"/>
      <c r="O82" s="154"/>
      <c r="P82" s="154"/>
    </row>
    <row r="83" spans="1:16" x14ac:dyDescent="0.35">
      <c r="B83" s="175"/>
      <c r="C83" s="176"/>
      <c r="D83" s="176"/>
      <c r="E83" s="176"/>
      <c r="F83" s="176"/>
      <c r="G83" s="176"/>
      <c r="H83" s="176"/>
      <c r="I83" s="176"/>
      <c r="J83" s="176"/>
      <c r="K83" s="176"/>
      <c r="L83" s="177"/>
      <c r="M83" s="2"/>
    </row>
    <row r="84" spans="1:16" x14ac:dyDescent="0.35">
      <c r="B84" s="710" t="s">
        <v>26</v>
      </c>
      <c r="C84" s="711"/>
      <c r="D84" s="711"/>
      <c r="E84" s="711"/>
      <c r="F84" s="711"/>
      <c r="G84" s="711"/>
      <c r="H84" s="711"/>
      <c r="I84" s="711"/>
      <c r="J84" s="711"/>
      <c r="K84" s="711"/>
      <c r="L84" s="712"/>
      <c r="M84" s="2"/>
    </row>
    <row r="85" spans="1:16" x14ac:dyDescent="0.35">
      <c r="B85" s="24"/>
      <c r="C85" s="25"/>
      <c r="D85" s="25"/>
      <c r="E85" s="26"/>
      <c r="F85" s="26"/>
      <c r="G85" s="26"/>
      <c r="H85" s="26"/>
      <c r="I85" s="26"/>
      <c r="J85" s="26"/>
      <c r="K85" s="26"/>
      <c r="L85" s="27"/>
      <c r="M85" s="2"/>
    </row>
    <row r="86" spans="1:16" x14ac:dyDescent="0.35">
      <c r="B86" s="602" t="str">
        <f>IF(Intro!$G$21="English",O86,P86)</f>
        <v>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v>
      </c>
      <c r="C86" s="603"/>
      <c r="D86" s="603"/>
      <c r="E86" s="603"/>
      <c r="F86" s="603"/>
      <c r="G86" s="603"/>
      <c r="H86" s="603"/>
      <c r="I86" s="603"/>
      <c r="J86" s="603"/>
      <c r="K86" s="603"/>
      <c r="L86" s="604"/>
      <c r="M86" s="2"/>
      <c r="O86" s="11" t="s">
        <v>216</v>
      </c>
      <c r="P86" s="2" t="s">
        <v>424</v>
      </c>
    </row>
    <row r="87" spans="1:16" x14ac:dyDescent="0.35">
      <c r="B87" s="602"/>
      <c r="C87" s="603"/>
      <c r="D87" s="603"/>
      <c r="E87" s="603"/>
      <c r="F87" s="603"/>
      <c r="G87" s="603"/>
      <c r="H87" s="603"/>
      <c r="I87" s="603"/>
      <c r="J87" s="603"/>
      <c r="K87" s="603"/>
      <c r="L87" s="604"/>
      <c r="M87" s="2"/>
      <c r="O87" s="11"/>
    </row>
    <row r="88" spans="1:16" x14ac:dyDescent="0.35">
      <c r="B88" s="602" t="str">
        <f>IF(Intro!$G$21="English",O88,P88)</f>
        <v>Remarque - Les salaires directs payés pour les ventes intérieures et les ventes à l'exportation sont fournis par la réponse à la question 1 ci-dessus.</v>
      </c>
      <c r="C88" s="603"/>
      <c r="D88" s="603"/>
      <c r="E88" s="603"/>
      <c r="F88" s="603"/>
      <c r="G88" s="603"/>
      <c r="H88" s="603"/>
      <c r="I88" s="603"/>
      <c r="J88" s="603"/>
      <c r="K88" s="603"/>
      <c r="L88" s="604"/>
      <c r="M88" s="2"/>
      <c r="O88" s="11" t="s">
        <v>1039</v>
      </c>
      <c r="P88" s="2" t="s">
        <v>1040</v>
      </c>
    </row>
    <row r="89" spans="1:16" x14ac:dyDescent="0.35">
      <c r="B89" s="159"/>
      <c r="C89" s="160"/>
      <c r="D89" s="25"/>
      <c r="E89" s="26"/>
      <c r="F89" s="26"/>
      <c r="G89" s="26"/>
      <c r="H89" s="26"/>
      <c r="I89" s="26"/>
      <c r="J89" s="26"/>
      <c r="K89" s="26"/>
      <c r="L89" s="27"/>
      <c r="M89" s="2"/>
      <c r="O89" s="11"/>
    </row>
    <row r="90" spans="1:16" x14ac:dyDescent="0.35">
      <c r="B90" s="863" t="str">
        <f>IF(Intro!$G$21="English",O90,P90)</f>
        <v>Nombre d'employés</v>
      </c>
      <c r="C90" s="864"/>
      <c r="D90" s="864"/>
      <c r="E90" s="864"/>
      <c r="F90" s="865"/>
      <c r="G90" s="835">
        <f>Variables!$B$6</f>
        <v>2023</v>
      </c>
      <c r="H90" s="835">
        <f>G90+1</f>
        <v>2024</v>
      </c>
      <c r="I90" s="835">
        <f>H90+1</f>
        <v>2025</v>
      </c>
      <c r="J90" s="835" t="str">
        <f>J46</f>
        <v>janv.-mars 2025</v>
      </c>
      <c r="K90" s="835" t="str">
        <f>K46</f>
        <v>janv.-mars 2026</v>
      </c>
      <c r="L90" s="258"/>
      <c r="M90" s="2"/>
      <c r="O90" s="11" t="s">
        <v>419</v>
      </c>
      <c r="P90" s="11" t="s">
        <v>217</v>
      </c>
    </row>
    <row r="91" spans="1:16" x14ac:dyDescent="0.35">
      <c r="B91" s="866"/>
      <c r="C91" s="867"/>
      <c r="D91" s="867"/>
      <c r="E91" s="867"/>
      <c r="F91" s="868"/>
      <c r="G91" s="836"/>
      <c r="H91" s="836"/>
      <c r="I91" s="836"/>
      <c r="J91" s="836"/>
      <c r="K91" s="836"/>
      <c r="L91" s="258"/>
      <c r="M91" s="2"/>
      <c r="O91" s="11"/>
      <c r="P91" s="11"/>
    </row>
    <row r="92" spans="1:16" x14ac:dyDescent="0.35">
      <c r="B92" s="869" t="str">
        <f>IF(Intro!$G$21="English",O92,P92)</f>
        <v>Emploi direct</v>
      </c>
      <c r="C92" s="870"/>
      <c r="D92" s="870"/>
      <c r="E92" s="871"/>
      <c r="F92" s="213" t="s">
        <v>218</v>
      </c>
      <c r="G92" s="249"/>
      <c r="H92" s="249"/>
      <c r="I92" s="249"/>
      <c r="J92" s="249"/>
      <c r="K92" s="249"/>
      <c r="L92" s="258"/>
      <c r="M92" s="2"/>
      <c r="O92" s="2" t="s">
        <v>66</v>
      </c>
      <c r="P92" s="2" t="s">
        <v>67</v>
      </c>
    </row>
    <row r="93" spans="1:16" x14ac:dyDescent="0.35">
      <c r="B93" s="869" t="str">
        <f>IF(Intro!$G$21="English",O93,P93)</f>
        <v>Emploi indirect</v>
      </c>
      <c r="C93" s="870"/>
      <c r="D93" s="870"/>
      <c r="E93" s="871"/>
      <c r="F93" s="213" t="s">
        <v>218</v>
      </c>
      <c r="G93" s="249"/>
      <c r="H93" s="249"/>
      <c r="I93" s="249"/>
      <c r="J93" s="249"/>
      <c r="K93" s="249"/>
      <c r="L93" s="258"/>
      <c r="M93" s="2"/>
      <c r="O93" s="11" t="s">
        <v>68</v>
      </c>
      <c r="P93" s="2" t="s">
        <v>69</v>
      </c>
    </row>
    <row r="94" spans="1:16" s="3" customFormat="1" x14ac:dyDescent="0.35">
      <c r="A94" s="18"/>
      <c r="B94" s="872" t="str">
        <f>IF(Intro!$G$21="English",O94,P94)</f>
        <v>Total</v>
      </c>
      <c r="C94" s="873"/>
      <c r="D94" s="873"/>
      <c r="E94" s="874"/>
      <c r="F94" s="216" t="s">
        <v>218</v>
      </c>
      <c r="G94" s="257">
        <f>G92+G93</f>
        <v>0</v>
      </c>
      <c r="H94" s="257">
        <f t="shared" ref="H94:I94" si="5">H92+H93</f>
        <v>0</v>
      </c>
      <c r="I94" s="257">
        <f t="shared" si="5"/>
        <v>0</v>
      </c>
      <c r="J94" s="257">
        <f t="shared" ref="J94:K94" si="6">J92+J93</f>
        <v>0</v>
      </c>
      <c r="K94" s="257">
        <f t="shared" si="6"/>
        <v>0</v>
      </c>
      <c r="L94" s="240"/>
      <c r="O94" s="4" t="s">
        <v>45</v>
      </c>
      <c r="P94" s="4" t="s">
        <v>45</v>
      </c>
    </row>
    <row r="95" spans="1:16" x14ac:dyDescent="0.35">
      <c r="B95" s="159"/>
      <c r="C95" s="160"/>
      <c r="D95" s="2"/>
      <c r="E95" s="2"/>
      <c r="F95" s="148"/>
      <c r="G95" s="149"/>
      <c r="H95" s="149"/>
      <c r="I95" s="149"/>
      <c r="J95" s="149"/>
      <c r="K95" s="263"/>
      <c r="L95" s="258"/>
      <c r="M95" s="2"/>
      <c r="O95" s="11"/>
    </row>
    <row r="96" spans="1:16" x14ac:dyDescent="0.35">
      <c r="B96" s="863" t="str">
        <f>IF(Intro!$G$21="English",O96,P96)</f>
        <v>Nombre d'heures travaillées</v>
      </c>
      <c r="C96" s="864"/>
      <c r="D96" s="864"/>
      <c r="E96" s="864"/>
      <c r="F96" s="865"/>
      <c r="G96" s="835">
        <f>Variables!$B$6</f>
        <v>2023</v>
      </c>
      <c r="H96" s="835">
        <f>G96+1</f>
        <v>2024</v>
      </c>
      <c r="I96" s="835">
        <f>H96+1</f>
        <v>2025</v>
      </c>
      <c r="J96" s="835" t="str">
        <f>J90</f>
        <v>janv.-mars 2025</v>
      </c>
      <c r="K96" s="835" t="str">
        <f>K90</f>
        <v>janv.-mars 2026</v>
      </c>
      <c r="L96" s="258"/>
      <c r="M96" s="2"/>
      <c r="O96" s="11" t="s">
        <v>754</v>
      </c>
      <c r="P96" s="11" t="s">
        <v>219</v>
      </c>
    </row>
    <row r="97" spans="1:16" x14ac:dyDescent="0.35">
      <c r="B97" s="866"/>
      <c r="C97" s="867"/>
      <c r="D97" s="867"/>
      <c r="E97" s="867"/>
      <c r="F97" s="868"/>
      <c r="G97" s="836"/>
      <c r="H97" s="836"/>
      <c r="I97" s="836"/>
      <c r="J97" s="836"/>
      <c r="K97" s="836"/>
      <c r="L97" s="258"/>
      <c r="M97" s="2"/>
      <c r="O97" s="11"/>
      <c r="P97" s="11"/>
    </row>
    <row r="98" spans="1:16" x14ac:dyDescent="0.35">
      <c r="B98" s="869" t="str">
        <f>B92</f>
        <v>Emploi direct</v>
      </c>
      <c r="C98" s="870"/>
      <c r="D98" s="870"/>
      <c r="E98" s="871"/>
      <c r="F98" s="213" t="s">
        <v>218</v>
      </c>
      <c r="G98" s="249"/>
      <c r="H98" s="249"/>
      <c r="I98" s="249"/>
      <c r="J98" s="249"/>
      <c r="K98" s="249"/>
      <c r="L98" s="258"/>
      <c r="M98" s="2"/>
    </row>
    <row r="99" spans="1:16" x14ac:dyDescent="0.35">
      <c r="B99" s="869" t="str">
        <f>B93</f>
        <v>Emploi indirect</v>
      </c>
      <c r="C99" s="870"/>
      <c r="D99" s="870"/>
      <c r="E99" s="871"/>
      <c r="F99" s="213" t="s">
        <v>218</v>
      </c>
      <c r="G99" s="249"/>
      <c r="H99" s="249"/>
      <c r="I99" s="249"/>
      <c r="J99" s="249"/>
      <c r="K99" s="249"/>
      <c r="L99" s="258"/>
      <c r="M99" s="2"/>
      <c r="O99" s="11"/>
    </row>
    <row r="100" spans="1:16" s="3" customFormat="1" x14ac:dyDescent="0.35">
      <c r="A100" s="18"/>
      <c r="B100" s="872" t="str">
        <f>B94</f>
        <v>Total</v>
      </c>
      <c r="C100" s="873"/>
      <c r="D100" s="873"/>
      <c r="E100" s="874"/>
      <c r="F100" s="216" t="s">
        <v>218</v>
      </c>
      <c r="G100" s="257">
        <f>G98+G99</f>
        <v>0</v>
      </c>
      <c r="H100" s="257">
        <f t="shared" ref="H100" si="7">H98+H99</f>
        <v>0</v>
      </c>
      <c r="I100" s="257">
        <f t="shared" ref="I100:J100" si="8">I98+I99</f>
        <v>0</v>
      </c>
      <c r="J100" s="257">
        <f t="shared" si="8"/>
        <v>0</v>
      </c>
      <c r="K100" s="257">
        <f t="shared" ref="K100" si="9">K98+K99</f>
        <v>0</v>
      </c>
      <c r="L100" s="240"/>
      <c r="O100" s="4"/>
      <c r="P100" s="4"/>
    </row>
    <row r="101" spans="1:16" x14ac:dyDescent="0.35">
      <c r="B101" s="159"/>
      <c r="C101" s="160"/>
      <c r="D101" s="2"/>
      <c r="E101" s="2"/>
      <c r="F101" s="148"/>
      <c r="G101" s="149"/>
      <c r="H101" s="149"/>
      <c r="I101" s="149"/>
      <c r="J101" s="149"/>
      <c r="K101" s="263"/>
      <c r="L101" s="258"/>
      <c r="M101" s="2"/>
      <c r="O101" s="11"/>
    </row>
    <row r="102" spans="1:16" x14ac:dyDescent="0.35">
      <c r="B102" s="863" t="str">
        <f>IF(Intro!$G$21="English",O102,P102)</f>
        <v>Salaires payés</v>
      </c>
      <c r="C102" s="864"/>
      <c r="D102" s="864"/>
      <c r="E102" s="864"/>
      <c r="F102" s="865"/>
      <c r="G102" s="835">
        <f>Variables!$B$6</f>
        <v>2023</v>
      </c>
      <c r="H102" s="835">
        <f>G102+1</f>
        <v>2024</v>
      </c>
      <c r="I102" s="835">
        <f>H102+1</f>
        <v>2025</v>
      </c>
      <c r="J102" s="835" t="str">
        <f>J96</f>
        <v>janv.-mars 2025</v>
      </c>
      <c r="K102" s="835" t="str">
        <f>K96</f>
        <v>janv.-mars 2026</v>
      </c>
      <c r="L102" s="258"/>
      <c r="M102" s="2"/>
      <c r="O102" s="11" t="s">
        <v>420</v>
      </c>
      <c r="P102" s="11" t="s">
        <v>421</v>
      </c>
    </row>
    <row r="103" spans="1:16" x14ac:dyDescent="0.35">
      <c r="B103" s="866"/>
      <c r="C103" s="867"/>
      <c r="D103" s="867"/>
      <c r="E103" s="867"/>
      <c r="F103" s="868"/>
      <c r="G103" s="836"/>
      <c r="H103" s="836"/>
      <c r="I103" s="836"/>
      <c r="J103" s="836"/>
      <c r="K103" s="836"/>
      <c r="L103" s="258"/>
      <c r="M103" s="2"/>
      <c r="O103" s="11"/>
      <c r="P103" s="11"/>
    </row>
    <row r="104" spans="1:16" x14ac:dyDescent="0.35">
      <c r="B104" s="869" t="str">
        <f>IF(Intro!$G$21="English",O104,P104)</f>
        <v>Emploi direct - ventes nationales et ventes à l'exportation</v>
      </c>
      <c r="C104" s="870"/>
      <c r="D104" s="870"/>
      <c r="E104" s="871"/>
      <c r="F104" s="213" t="s">
        <v>559</v>
      </c>
      <c r="G104" s="250">
        <f>G30+G55</f>
        <v>0</v>
      </c>
      <c r="H104" s="250">
        <f>H30+H55</f>
        <v>0</v>
      </c>
      <c r="I104" s="250">
        <f>I30+I55</f>
        <v>0</v>
      </c>
      <c r="J104" s="250">
        <f>J30+J55</f>
        <v>0</v>
      </c>
      <c r="K104" s="250">
        <f>K30+K55</f>
        <v>0</v>
      </c>
      <c r="L104" s="258"/>
      <c r="M104" s="2"/>
      <c r="O104" s="2" t="s">
        <v>220</v>
      </c>
      <c r="P104" s="2" t="s">
        <v>221</v>
      </c>
    </row>
    <row r="105" spans="1:16" x14ac:dyDescent="0.35">
      <c r="B105" s="869" t="str">
        <f>IF(Intro!$G$21="English",O105,P105)</f>
        <v>Emploi direct - utilisées à l'interne ou destinées à la transformation ultérieure à l’interne</v>
      </c>
      <c r="C105" s="870"/>
      <c r="D105" s="870"/>
      <c r="E105" s="871"/>
      <c r="F105" s="213" t="s">
        <v>559</v>
      </c>
      <c r="G105" s="249"/>
      <c r="H105" s="249"/>
      <c r="I105" s="249"/>
      <c r="J105" s="249"/>
      <c r="K105" s="249"/>
      <c r="L105" s="258"/>
      <c r="M105" s="2"/>
      <c r="O105" s="2" t="s">
        <v>222</v>
      </c>
      <c r="P105" s="2" t="s">
        <v>223</v>
      </c>
    </row>
    <row r="106" spans="1:16" x14ac:dyDescent="0.35">
      <c r="B106" s="869" t="str">
        <f>B93</f>
        <v>Emploi indirect</v>
      </c>
      <c r="C106" s="870"/>
      <c r="D106" s="870"/>
      <c r="E106" s="871"/>
      <c r="F106" s="213" t="s">
        <v>559</v>
      </c>
      <c r="G106" s="249"/>
      <c r="H106" s="249"/>
      <c r="I106" s="249"/>
      <c r="J106" s="249"/>
      <c r="K106" s="249"/>
      <c r="L106" s="258"/>
      <c r="M106" s="2"/>
      <c r="O106" s="11"/>
    </row>
    <row r="107" spans="1:16" s="3" customFormat="1" x14ac:dyDescent="0.35">
      <c r="A107" s="18"/>
      <c r="B107" s="872" t="str">
        <f>B94</f>
        <v>Total</v>
      </c>
      <c r="C107" s="873"/>
      <c r="D107" s="873"/>
      <c r="E107" s="874"/>
      <c r="F107" s="213" t="s">
        <v>559</v>
      </c>
      <c r="G107" s="257">
        <f>G104+G105+G106</f>
        <v>0</v>
      </c>
      <c r="H107" s="257">
        <f t="shared" ref="H107:I107" si="10">H104+H105+H106</f>
        <v>0</v>
      </c>
      <c r="I107" s="257">
        <f t="shared" si="10"/>
        <v>0</v>
      </c>
      <c r="J107" s="257">
        <f t="shared" ref="J107:K107" si="11">J104+J105+J106</f>
        <v>0</v>
      </c>
      <c r="K107" s="257">
        <f t="shared" si="11"/>
        <v>0</v>
      </c>
      <c r="L107" s="240"/>
      <c r="O107" s="4"/>
      <c r="P107" s="4"/>
    </row>
    <row r="108" spans="1:16" x14ac:dyDescent="0.35">
      <c r="B108" s="169"/>
      <c r="C108" s="170"/>
      <c r="D108" s="170"/>
      <c r="E108" s="170"/>
      <c r="F108" s="170"/>
      <c r="G108" s="170"/>
      <c r="H108" s="170"/>
      <c r="I108" s="170"/>
      <c r="J108" s="170"/>
      <c r="K108" s="170"/>
      <c r="L108" s="171"/>
      <c r="M108" s="2"/>
    </row>
    <row r="109" spans="1:16" x14ac:dyDescent="0.35">
      <c r="B109" s="602" t="str">
        <f>IF(Intro!$G$21="English",O109,P109)</f>
        <v>Remarque - Les montants suivants sont basés sur les réponses fournies çi-dessus et à la question 1 dans l'onglet Pro 1. Si les montants sont incorrects, modifiez vos réponses aux questions précédentes.</v>
      </c>
      <c r="C109" s="603"/>
      <c r="D109" s="603"/>
      <c r="E109" s="603"/>
      <c r="F109" s="603"/>
      <c r="G109" s="603"/>
      <c r="H109" s="603"/>
      <c r="I109" s="603"/>
      <c r="J109" s="603"/>
      <c r="K109" s="603"/>
      <c r="L109" s="604"/>
      <c r="M109" s="2"/>
      <c r="O109" s="11" t="s">
        <v>707</v>
      </c>
      <c r="P109" s="2" t="s">
        <v>708</v>
      </c>
    </row>
    <row r="110" spans="1:16" x14ac:dyDescent="0.35">
      <c r="A110" s="41"/>
      <c r="B110" s="602"/>
      <c r="C110" s="603"/>
      <c r="D110" s="603"/>
      <c r="E110" s="603"/>
      <c r="F110" s="603"/>
      <c r="G110" s="603"/>
      <c r="H110" s="603"/>
      <c r="I110" s="603"/>
      <c r="J110" s="603"/>
      <c r="K110" s="603"/>
      <c r="L110" s="604"/>
      <c r="M110" s="2"/>
      <c r="O110" s="11"/>
    </row>
    <row r="111" spans="1:16" x14ac:dyDescent="0.35">
      <c r="B111" s="184"/>
      <c r="C111" s="173"/>
      <c r="D111" s="2"/>
      <c r="E111" s="2"/>
      <c r="F111" s="173"/>
      <c r="G111" s="835">
        <f>Variables!$B$6</f>
        <v>2023</v>
      </c>
      <c r="H111" s="835">
        <f>G111+1</f>
        <v>2024</v>
      </c>
      <c r="I111" s="835">
        <f>H111+1</f>
        <v>2025</v>
      </c>
      <c r="J111" s="835" t="str">
        <f>J102</f>
        <v>janv.-mars 2025</v>
      </c>
      <c r="K111" s="769" t="str">
        <f>K102</f>
        <v>janv.-mars 2026</v>
      </c>
      <c r="L111" s="258"/>
      <c r="M111" s="2"/>
      <c r="O111" s="11"/>
      <c r="P111" s="11"/>
    </row>
    <row r="112" spans="1:16" x14ac:dyDescent="0.35">
      <c r="B112" s="184"/>
      <c r="C112" s="173"/>
      <c r="D112" s="2"/>
      <c r="E112" s="2"/>
      <c r="F112" s="217"/>
      <c r="G112" s="836"/>
      <c r="H112" s="836"/>
      <c r="I112" s="836"/>
      <c r="J112" s="836"/>
      <c r="K112" s="769"/>
      <c r="L112" s="258"/>
      <c r="M112" s="2"/>
      <c r="O112" s="11"/>
      <c r="P112" s="11"/>
    </row>
    <row r="113" spans="1:16" x14ac:dyDescent="0.35">
      <c r="B113" s="869" t="str">
        <f>IF(Intro!$G$21="English",O113,P113)</f>
        <v>Volume de production par employé direct</v>
      </c>
      <c r="C113" s="870"/>
      <c r="D113" s="870"/>
      <c r="E113" s="871"/>
      <c r="F113" s="213" t="str">
        <f>Variables!B23</f>
        <v>metres</v>
      </c>
      <c r="G113" s="250">
        <f>IF(G92=0,0,'Pro 1'!G25/'Pro 3'!G92)</f>
        <v>0</v>
      </c>
      <c r="H113" s="250">
        <f>IF(H92=0,0,'Pro 1'!H25/'Pro 3'!H92)</f>
        <v>0</v>
      </c>
      <c r="I113" s="250">
        <f>IF(I92=0,0,'Pro 1'!I25/'Pro 3'!I92)</f>
        <v>0</v>
      </c>
      <c r="J113" s="250">
        <f>IF(J92=0,0,'Pro 1'!J25/'Pro 3'!J92)</f>
        <v>0</v>
      </c>
      <c r="K113" s="250">
        <f>IF(K92=0,0,'Pro 1'!K25/'Pro 3'!K92)</f>
        <v>0</v>
      </c>
      <c r="L113" s="258"/>
      <c r="M113" s="2"/>
      <c r="O113" s="2" t="s">
        <v>224</v>
      </c>
      <c r="P113" s="2" t="s">
        <v>225</v>
      </c>
    </row>
    <row r="114" spans="1:16" x14ac:dyDescent="0.35">
      <c r="B114" s="869" t="str">
        <f>IF(Intro!$G$21="English",O114,P114)</f>
        <v>Volume de production par heure d'emploi direct travaillée</v>
      </c>
      <c r="C114" s="870"/>
      <c r="D114" s="870"/>
      <c r="E114" s="871"/>
      <c r="F114" s="213" t="str">
        <f>Variables!B23</f>
        <v>metres</v>
      </c>
      <c r="G114" s="250">
        <f>IF(G98=0,0,'Pro 1'!G25/'Pro 3'!G98)</f>
        <v>0</v>
      </c>
      <c r="H114" s="250">
        <f>IF(H98=0,0,'Pro 1'!H25/'Pro 3'!H98)</f>
        <v>0</v>
      </c>
      <c r="I114" s="250">
        <f>IF(I98=0,0,'Pro 1'!I25/'Pro 3'!I98)</f>
        <v>0</v>
      </c>
      <c r="J114" s="250">
        <f>IF(J98=0,0,'Pro 1'!J25/'Pro 3'!J98)</f>
        <v>0</v>
      </c>
      <c r="K114" s="250">
        <f>IF(K98=0,0,'Pro 1'!K25/'Pro 3'!K98)</f>
        <v>0</v>
      </c>
      <c r="L114" s="258"/>
      <c r="M114" s="2"/>
      <c r="O114" s="11" t="s">
        <v>226</v>
      </c>
      <c r="P114" s="2" t="s">
        <v>697</v>
      </c>
    </row>
    <row r="115" spans="1:16" x14ac:dyDescent="0.35">
      <c r="B115" s="869" t="str">
        <f>IF(Intro!$G$21="English",O115,P115)</f>
        <v>Salaires totaux par employé direct</v>
      </c>
      <c r="C115" s="870"/>
      <c r="D115" s="870"/>
      <c r="E115" s="871"/>
      <c r="F115" s="213" t="s">
        <v>559</v>
      </c>
      <c r="G115" s="250">
        <f>IF(G92=0,0,(G105+G104)/G92)</f>
        <v>0</v>
      </c>
      <c r="H115" s="250">
        <f>IF(H92=0,0,(H105+H104)/H92)</f>
        <v>0</v>
      </c>
      <c r="I115" s="250">
        <f>IF(I92=0,0,(I105+I104)/I92)</f>
        <v>0</v>
      </c>
      <c r="J115" s="250">
        <f>IF(J92=0,0,(J105+J104)/J92)</f>
        <v>0</v>
      </c>
      <c r="K115" s="250">
        <f>IF(K92=0,0,(K105+K104)/K92)</f>
        <v>0</v>
      </c>
      <c r="L115" s="258"/>
      <c r="M115" s="2"/>
      <c r="O115" s="2" t="s">
        <v>227</v>
      </c>
      <c r="P115" s="2" t="s">
        <v>228</v>
      </c>
    </row>
    <row r="116" spans="1:16" x14ac:dyDescent="0.35">
      <c r="B116" s="869" t="str">
        <f>IF(Intro!$G$21="English",O116,P116)</f>
        <v>Salaires totaux par employé indirect</v>
      </c>
      <c r="C116" s="870"/>
      <c r="D116" s="870"/>
      <c r="E116" s="871"/>
      <c r="F116" s="213" t="s">
        <v>559</v>
      </c>
      <c r="G116" s="250">
        <f>IF(G93=0,0,G106/G93)</f>
        <v>0</v>
      </c>
      <c r="H116" s="250">
        <f>IF(H93=0,0,H106/H93)</f>
        <v>0</v>
      </c>
      <c r="I116" s="250">
        <f>IF(I93=0,0,I106/I93)</f>
        <v>0</v>
      </c>
      <c r="J116" s="250">
        <f>IF(J93=0,0,J106/J93)</f>
        <v>0</v>
      </c>
      <c r="K116" s="250">
        <f>IF(K93=0,0,K106/K93)</f>
        <v>0</v>
      </c>
      <c r="L116" s="258"/>
      <c r="M116" s="2"/>
      <c r="O116" s="2" t="s">
        <v>229</v>
      </c>
      <c r="P116" s="2" t="s">
        <v>230</v>
      </c>
    </row>
    <row r="117" spans="1:16" x14ac:dyDescent="0.35">
      <c r="B117" s="869" t="str">
        <f>IF(Intro!$G$21="English",O117,P117)</f>
        <v>Salaires horaires par employé direct</v>
      </c>
      <c r="C117" s="870"/>
      <c r="D117" s="870"/>
      <c r="E117" s="871"/>
      <c r="F117" s="213" t="s">
        <v>559</v>
      </c>
      <c r="G117" s="250">
        <f>IF(G98=0,0,(G104+G105)/G98)</f>
        <v>0</v>
      </c>
      <c r="H117" s="250">
        <f>IF(H98=0,0,(H104+H105)/H98)</f>
        <v>0</v>
      </c>
      <c r="I117" s="250">
        <f>IF(I98=0,0,(I104+I105)/I98)</f>
        <v>0</v>
      </c>
      <c r="J117" s="250">
        <f>IF(J98=0,0,(J104+J105)/J98)</f>
        <v>0</v>
      </c>
      <c r="K117" s="250">
        <f>IF(K98=0,0,(K104+K105)/K98)</f>
        <v>0</v>
      </c>
      <c r="L117" s="258"/>
      <c r="M117" s="2"/>
      <c r="O117" s="2" t="s">
        <v>231</v>
      </c>
      <c r="P117" s="2" t="s">
        <v>422</v>
      </c>
    </row>
    <row r="118" spans="1:16" x14ac:dyDescent="0.35">
      <c r="B118" s="869" t="str">
        <f>IF(Intro!$G$21="English",O118,P118)</f>
        <v>Salaires horaires par employé indirect</v>
      </c>
      <c r="C118" s="870"/>
      <c r="D118" s="870"/>
      <c r="E118" s="871"/>
      <c r="F118" s="213" t="s">
        <v>559</v>
      </c>
      <c r="G118" s="250">
        <f>IF(G99=0,0,G106/G99)</f>
        <v>0</v>
      </c>
      <c r="H118" s="250">
        <f>IF(H99=0,0,H106/H99)</f>
        <v>0</v>
      </c>
      <c r="I118" s="250">
        <f>IF(I99=0,0,I106/I99)</f>
        <v>0</v>
      </c>
      <c r="J118" s="250">
        <f>IF(J99=0,0,J106/J99)</f>
        <v>0</v>
      </c>
      <c r="K118" s="250">
        <f>IF(K99=0,0,K106/K99)</f>
        <v>0</v>
      </c>
      <c r="L118" s="258"/>
      <c r="M118" s="2"/>
      <c r="O118" s="2" t="s">
        <v>232</v>
      </c>
      <c r="P118" s="2" t="s">
        <v>423</v>
      </c>
    </row>
    <row r="119" spans="1:16" x14ac:dyDescent="0.35">
      <c r="B119" s="36"/>
      <c r="C119" s="143"/>
      <c r="D119" s="39"/>
      <c r="E119" s="32"/>
      <c r="F119" s="32"/>
      <c r="G119" s="32"/>
      <c r="H119" s="32"/>
      <c r="I119" s="32"/>
      <c r="J119" s="32"/>
      <c r="K119" s="32"/>
      <c r="L119" s="33"/>
      <c r="M119" s="2"/>
      <c r="O119" s="11"/>
    </row>
    <row r="120" spans="1:16" s="3" customFormat="1" x14ac:dyDescent="0.35">
      <c r="A120" s="12"/>
      <c r="B120" s="710" t="s">
        <v>27</v>
      </c>
      <c r="C120" s="711"/>
      <c r="D120" s="711"/>
      <c r="E120" s="711"/>
      <c r="F120" s="711"/>
      <c r="G120" s="711"/>
      <c r="H120" s="711"/>
      <c r="I120" s="711"/>
      <c r="J120" s="711"/>
      <c r="K120" s="711"/>
      <c r="L120" s="712"/>
      <c r="M120" s="167"/>
    </row>
    <row r="121" spans="1:16" x14ac:dyDescent="0.35">
      <c r="B121" s="169"/>
      <c r="C121" s="170"/>
      <c r="D121" s="170"/>
      <c r="E121" s="170"/>
      <c r="F121" s="170"/>
      <c r="G121" s="170"/>
      <c r="H121" s="170"/>
      <c r="I121" s="170"/>
      <c r="J121" s="170"/>
      <c r="K121" s="170"/>
      <c r="L121" s="171"/>
      <c r="M121" s="2"/>
    </row>
    <row r="122" spans="1:16" x14ac:dyDescent="0.35">
      <c r="B122" s="602" t="str">
        <f>IF(Intro!$G$21="English",O122,P122)</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c r="C122" s="603"/>
      <c r="D122" s="603"/>
      <c r="E122" s="603"/>
      <c r="F122" s="603"/>
      <c r="G122" s="603"/>
      <c r="H122" s="603"/>
      <c r="I122" s="603"/>
      <c r="J122" s="603"/>
      <c r="K122" s="603"/>
      <c r="L122" s="604"/>
      <c r="M122" s="2"/>
      <c r="O122" s="2" t="str">
        <f>"Identify any events, such as reduced hours of work, layoffs, strikes and other plant shutdowns/closures other than holidays, that have affected your firm's production of the goods since January 1, "&amp;Variables!B6&amp;". For each event, identify the year, the cause, the duration and the number of direct employees affected."</f>
        <v>Identify any events, such as reduced hours of work, layoffs, strikes and other plant shutdowns/closures other than holidays, that have affected your firm's production of the goods since January 1, 2023. For each event, identify the year, the cause, the duration and the number of direct employees affected.</v>
      </c>
      <c r="P122" s="2" t="str">
        <f>"Indiquez tout événement, p. ex. heures de travail réduites, mises à pied, grèves ou fermetures d’usine, autre qu'un congé, qui a influé sur la production des marchandises de votre entreprise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row>
    <row r="123" spans="1:16" x14ac:dyDescent="0.35">
      <c r="B123" s="602"/>
      <c r="C123" s="603"/>
      <c r="D123" s="603"/>
      <c r="E123" s="603"/>
      <c r="F123" s="603"/>
      <c r="G123" s="603"/>
      <c r="H123" s="603"/>
      <c r="I123" s="603"/>
      <c r="J123" s="603"/>
      <c r="K123" s="603"/>
      <c r="L123" s="604"/>
      <c r="M123" s="2"/>
      <c r="O123" s="2" t="s">
        <v>664</v>
      </c>
      <c r="P123" s="11" t="s">
        <v>665</v>
      </c>
    </row>
    <row r="124" spans="1:16" x14ac:dyDescent="0.35">
      <c r="B124" s="169"/>
      <c r="C124" s="170"/>
      <c r="D124" s="170"/>
      <c r="E124" s="170"/>
      <c r="F124" s="170"/>
      <c r="G124" s="170"/>
      <c r="H124" s="170"/>
      <c r="I124" s="170"/>
      <c r="J124" s="170"/>
      <c r="K124" s="170"/>
      <c r="L124" s="171"/>
      <c r="M124" s="2"/>
      <c r="O124" s="2" t="s">
        <v>233</v>
      </c>
      <c r="P124" s="2" t="s">
        <v>234</v>
      </c>
    </row>
    <row r="125" spans="1:16" x14ac:dyDescent="0.35">
      <c r="B125" s="875" t="str">
        <f>IF(Intro!$G$21="English",O123,P123)</f>
        <v>Événement</v>
      </c>
      <c r="C125" s="835" t="str">
        <f>IF(Intro!$G$21="English",O124,P124)</f>
        <v>Année</v>
      </c>
      <c r="D125" s="835" t="str">
        <f>IF(Intro!$G$21="English",O125,P125)</f>
        <v xml:space="preserve">Durée  </v>
      </c>
      <c r="E125" s="769" t="str">
        <f>IF(Intro!$G$21="English",O126,P126)</f>
        <v>Nombre d'employés directs concernés</v>
      </c>
      <c r="F125" s="769"/>
      <c r="G125" s="769" t="str">
        <f>IF(Intro!$G$21="English",O127,P127)</f>
        <v>Raison</v>
      </c>
      <c r="H125" s="769"/>
      <c r="I125" s="769"/>
      <c r="J125" s="769"/>
      <c r="K125" s="769"/>
      <c r="L125" s="881"/>
      <c r="M125" s="2"/>
      <c r="O125" s="2" t="s">
        <v>235</v>
      </c>
      <c r="P125" s="2" t="s">
        <v>236</v>
      </c>
    </row>
    <row r="126" spans="1:16" x14ac:dyDescent="0.35">
      <c r="B126" s="876"/>
      <c r="C126" s="836"/>
      <c r="D126" s="836"/>
      <c r="E126" s="769"/>
      <c r="F126" s="769"/>
      <c r="G126" s="769"/>
      <c r="H126" s="769"/>
      <c r="I126" s="769"/>
      <c r="J126" s="769"/>
      <c r="K126" s="769"/>
      <c r="L126" s="881"/>
      <c r="M126" s="2"/>
      <c r="O126" s="2" t="s">
        <v>336</v>
      </c>
      <c r="P126" s="2" t="s">
        <v>337</v>
      </c>
    </row>
    <row r="127" spans="1:16" x14ac:dyDescent="0.35">
      <c r="B127" s="880" t="str">
        <f>IF(Intro!$G$21="English",O128,P128)</f>
        <v>Événement 1</v>
      </c>
      <c r="C127" s="646"/>
      <c r="D127" s="626"/>
      <c r="E127" s="626"/>
      <c r="F127" s="626"/>
      <c r="G127" s="626"/>
      <c r="H127" s="626"/>
      <c r="I127" s="626"/>
      <c r="J127" s="626"/>
      <c r="K127" s="626"/>
      <c r="L127" s="627"/>
      <c r="M127" s="2"/>
      <c r="O127" s="11" t="s">
        <v>237</v>
      </c>
      <c r="P127" s="11" t="s">
        <v>238</v>
      </c>
    </row>
    <row r="128" spans="1:16" x14ac:dyDescent="0.35">
      <c r="B128" s="880"/>
      <c r="C128" s="646"/>
      <c r="D128" s="626"/>
      <c r="E128" s="626"/>
      <c r="F128" s="626"/>
      <c r="G128" s="626"/>
      <c r="H128" s="626"/>
      <c r="I128" s="626"/>
      <c r="J128" s="626"/>
      <c r="K128" s="626"/>
      <c r="L128" s="627"/>
      <c r="M128" s="2"/>
      <c r="O128" s="11" t="s">
        <v>239</v>
      </c>
      <c r="P128" s="11" t="s">
        <v>240</v>
      </c>
    </row>
    <row r="129" spans="2:16" x14ac:dyDescent="0.35">
      <c r="B129" s="880"/>
      <c r="C129" s="646"/>
      <c r="D129" s="626"/>
      <c r="E129" s="626"/>
      <c r="F129" s="626"/>
      <c r="G129" s="626"/>
      <c r="H129" s="626"/>
      <c r="I129" s="626"/>
      <c r="J129" s="626"/>
      <c r="K129" s="626"/>
      <c r="L129" s="627"/>
      <c r="M129" s="2"/>
      <c r="O129" s="11"/>
      <c r="P129" s="11"/>
    </row>
    <row r="130" spans="2:16" x14ac:dyDescent="0.35">
      <c r="B130" s="880"/>
      <c r="C130" s="646"/>
      <c r="D130" s="626"/>
      <c r="E130" s="626"/>
      <c r="F130" s="626"/>
      <c r="G130" s="626"/>
      <c r="H130" s="626"/>
      <c r="I130" s="626"/>
      <c r="J130" s="626"/>
      <c r="K130" s="626"/>
      <c r="L130" s="627"/>
      <c r="M130" s="2"/>
      <c r="O130" s="11"/>
      <c r="P130" s="11"/>
    </row>
    <row r="131" spans="2:16" x14ac:dyDescent="0.35">
      <c r="B131" s="880"/>
      <c r="C131" s="646"/>
      <c r="D131" s="626"/>
      <c r="E131" s="626"/>
      <c r="F131" s="626"/>
      <c r="G131" s="626"/>
      <c r="H131" s="626"/>
      <c r="I131" s="626"/>
      <c r="J131" s="626"/>
      <c r="K131" s="626"/>
      <c r="L131" s="627"/>
      <c r="M131" s="2"/>
      <c r="O131" s="11"/>
      <c r="P131" s="11"/>
    </row>
    <row r="132" spans="2:16" x14ac:dyDescent="0.35">
      <c r="B132" s="880"/>
      <c r="C132" s="646"/>
      <c r="D132" s="626"/>
      <c r="E132" s="626"/>
      <c r="F132" s="626"/>
      <c r="G132" s="626"/>
      <c r="H132" s="626"/>
      <c r="I132" s="626"/>
      <c r="J132" s="626"/>
      <c r="K132" s="626"/>
      <c r="L132" s="627"/>
      <c r="M132" s="2"/>
      <c r="O132" s="11"/>
      <c r="P132" s="11"/>
    </row>
    <row r="133" spans="2:16" x14ac:dyDescent="0.35">
      <c r="B133" s="880"/>
      <c r="C133" s="646"/>
      <c r="D133" s="626"/>
      <c r="E133" s="626"/>
      <c r="F133" s="626"/>
      <c r="G133" s="626"/>
      <c r="H133" s="626"/>
      <c r="I133" s="626"/>
      <c r="J133" s="626"/>
      <c r="K133" s="626"/>
      <c r="L133" s="627"/>
      <c r="M133" s="2"/>
      <c r="O133" s="11"/>
      <c r="P133" s="11"/>
    </row>
    <row r="134" spans="2:16" x14ac:dyDescent="0.35">
      <c r="B134" s="880"/>
      <c r="C134" s="646"/>
      <c r="D134" s="626"/>
      <c r="E134" s="626"/>
      <c r="F134" s="626"/>
      <c r="G134" s="626"/>
      <c r="H134" s="626"/>
      <c r="I134" s="626"/>
      <c r="J134" s="626"/>
      <c r="K134" s="626"/>
      <c r="L134" s="627"/>
      <c r="M134" s="2"/>
      <c r="O134" s="11"/>
      <c r="P134" s="11"/>
    </row>
    <row r="135" spans="2:16" x14ac:dyDescent="0.35">
      <c r="B135" s="880"/>
      <c r="C135" s="646"/>
      <c r="D135" s="626"/>
      <c r="E135" s="626"/>
      <c r="F135" s="626"/>
      <c r="G135" s="626"/>
      <c r="H135" s="626"/>
      <c r="I135" s="626"/>
      <c r="J135" s="626"/>
      <c r="K135" s="626"/>
      <c r="L135" s="627"/>
      <c r="M135" s="2"/>
      <c r="O135" s="11"/>
      <c r="P135" s="11"/>
    </row>
    <row r="136" spans="2:16" x14ac:dyDescent="0.35">
      <c r="B136" s="880"/>
      <c r="C136" s="646"/>
      <c r="D136" s="626"/>
      <c r="E136" s="626"/>
      <c r="F136" s="626"/>
      <c r="G136" s="626"/>
      <c r="H136" s="626"/>
      <c r="I136" s="626"/>
      <c r="J136" s="626"/>
      <c r="K136" s="626"/>
      <c r="L136" s="627"/>
      <c r="M136" s="2"/>
      <c r="O136" s="11"/>
      <c r="P136" s="11"/>
    </row>
    <row r="137" spans="2:16" x14ac:dyDescent="0.35">
      <c r="B137" s="880" t="str">
        <f>IF(Intro!$G$21="English",O137,P137)</f>
        <v>Événement 2</v>
      </c>
      <c r="C137" s="646"/>
      <c r="D137" s="626"/>
      <c r="E137" s="626"/>
      <c r="F137" s="626"/>
      <c r="G137" s="626"/>
      <c r="H137" s="626"/>
      <c r="I137" s="626"/>
      <c r="J137" s="626"/>
      <c r="K137" s="626"/>
      <c r="L137" s="627"/>
      <c r="M137" s="2"/>
      <c r="O137" s="11" t="s">
        <v>241</v>
      </c>
      <c r="P137" s="11" t="s">
        <v>242</v>
      </c>
    </row>
    <row r="138" spans="2:16" x14ac:dyDescent="0.35">
      <c r="B138" s="880"/>
      <c r="C138" s="646"/>
      <c r="D138" s="626"/>
      <c r="E138" s="626"/>
      <c r="F138" s="626"/>
      <c r="G138" s="626"/>
      <c r="H138" s="626"/>
      <c r="I138" s="626"/>
      <c r="J138" s="626"/>
      <c r="K138" s="626"/>
      <c r="L138" s="627"/>
      <c r="M138" s="2"/>
    </row>
    <row r="139" spans="2:16" x14ac:dyDescent="0.35">
      <c r="B139" s="880"/>
      <c r="C139" s="646"/>
      <c r="D139" s="626"/>
      <c r="E139" s="626"/>
      <c r="F139" s="626"/>
      <c r="G139" s="626"/>
      <c r="H139" s="626"/>
      <c r="I139" s="626"/>
      <c r="J139" s="626"/>
      <c r="K139" s="626"/>
      <c r="L139" s="627"/>
      <c r="M139" s="2"/>
    </row>
    <row r="140" spans="2:16" x14ac:dyDescent="0.35">
      <c r="B140" s="880"/>
      <c r="C140" s="646"/>
      <c r="D140" s="626"/>
      <c r="E140" s="626"/>
      <c r="F140" s="626"/>
      <c r="G140" s="626"/>
      <c r="H140" s="626"/>
      <c r="I140" s="626"/>
      <c r="J140" s="626"/>
      <c r="K140" s="626"/>
      <c r="L140" s="627"/>
      <c r="M140" s="2"/>
      <c r="O140" s="11"/>
      <c r="P140" s="11"/>
    </row>
    <row r="141" spans="2:16" x14ac:dyDescent="0.35">
      <c r="B141" s="880"/>
      <c r="C141" s="646"/>
      <c r="D141" s="626"/>
      <c r="E141" s="626"/>
      <c r="F141" s="626"/>
      <c r="G141" s="626"/>
      <c r="H141" s="626"/>
      <c r="I141" s="626"/>
      <c r="J141" s="626"/>
      <c r="K141" s="626"/>
      <c r="L141" s="627"/>
      <c r="M141" s="2"/>
      <c r="O141" s="11"/>
      <c r="P141" s="11"/>
    </row>
    <row r="142" spans="2:16" x14ac:dyDescent="0.35">
      <c r="B142" s="880"/>
      <c r="C142" s="646"/>
      <c r="D142" s="626"/>
      <c r="E142" s="626"/>
      <c r="F142" s="626"/>
      <c r="G142" s="626"/>
      <c r="H142" s="626"/>
      <c r="I142" s="626"/>
      <c r="J142" s="626"/>
      <c r="K142" s="626"/>
      <c r="L142" s="627"/>
      <c r="M142" s="2"/>
      <c r="O142" s="11"/>
      <c r="P142" s="11"/>
    </row>
    <row r="143" spans="2:16" x14ac:dyDescent="0.35">
      <c r="B143" s="880"/>
      <c r="C143" s="646"/>
      <c r="D143" s="626"/>
      <c r="E143" s="626"/>
      <c r="F143" s="626"/>
      <c r="G143" s="626"/>
      <c r="H143" s="626"/>
      <c r="I143" s="626"/>
      <c r="J143" s="626"/>
      <c r="K143" s="626"/>
      <c r="L143" s="627"/>
      <c r="M143" s="2"/>
      <c r="O143" s="11"/>
      <c r="P143" s="11"/>
    </row>
    <row r="144" spans="2:16" x14ac:dyDescent="0.35">
      <c r="B144" s="880"/>
      <c r="C144" s="646"/>
      <c r="D144" s="626"/>
      <c r="E144" s="626"/>
      <c r="F144" s="626"/>
      <c r="G144" s="626"/>
      <c r="H144" s="626"/>
      <c r="I144" s="626"/>
      <c r="J144" s="626"/>
      <c r="K144" s="626"/>
      <c r="L144" s="627"/>
      <c r="M144" s="2"/>
      <c r="O144" s="11"/>
      <c r="P144" s="11"/>
    </row>
    <row r="145" spans="2:16" x14ac:dyDescent="0.35">
      <c r="B145" s="880"/>
      <c r="C145" s="646"/>
      <c r="D145" s="626"/>
      <c r="E145" s="626"/>
      <c r="F145" s="626"/>
      <c r="G145" s="626"/>
      <c r="H145" s="626"/>
      <c r="I145" s="626"/>
      <c r="J145" s="626"/>
      <c r="K145" s="626"/>
      <c r="L145" s="627"/>
      <c r="M145" s="2"/>
      <c r="O145" s="11"/>
      <c r="P145" s="11"/>
    </row>
    <row r="146" spans="2:16" x14ac:dyDescent="0.35">
      <c r="B146" s="880"/>
      <c r="C146" s="646"/>
      <c r="D146" s="626"/>
      <c r="E146" s="626"/>
      <c r="F146" s="626"/>
      <c r="G146" s="626"/>
      <c r="H146" s="626"/>
      <c r="I146" s="626"/>
      <c r="J146" s="626"/>
      <c r="K146" s="626"/>
      <c r="L146" s="627"/>
      <c r="M146" s="2"/>
      <c r="O146" s="11"/>
      <c r="P146" s="11"/>
    </row>
    <row r="147" spans="2:16" x14ac:dyDescent="0.35">
      <c r="B147" s="880" t="str">
        <f>IF(Intro!$G$21="English",O147,P147)</f>
        <v>Événement 3</v>
      </c>
      <c r="C147" s="646"/>
      <c r="D147" s="626"/>
      <c r="E147" s="626"/>
      <c r="F147" s="626"/>
      <c r="G147" s="626"/>
      <c r="H147" s="626"/>
      <c r="I147" s="626"/>
      <c r="J147" s="626"/>
      <c r="K147" s="626"/>
      <c r="L147" s="627"/>
      <c r="M147" s="2"/>
      <c r="O147" s="11" t="s">
        <v>243</v>
      </c>
      <c r="P147" s="11" t="s">
        <v>244</v>
      </c>
    </row>
    <row r="148" spans="2:16" x14ac:dyDescent="0.35">
      <c r="B148" s="880"/>
      <c r="C148" s="646"/>
      <c r="D148" s="626"/>
      <c r="E148" s="626"/>
      <c r="F148" s="626"/>
      <c r="G148" s="626"/>
      <c r="H148" s="626"/>
      <c r="I148" s="626"/>
      <c r="J148" s="626"/>
      <c r="K148" s="626"/>
      <c r="L148" s="627"/>
      <c r="M148" s="2"/>
    </row>
    <row r="149" spans="2:16" x14ac:dyDescent="0.35">
      <c r="B149" s="880"/>
      <c r="C149" s="646"/>
      <c r="D149" s="626"/>
      <c r="E149" s="626"/>
      <c r="F149" s="626"/>
      <c r="G149" s="626"/>
      <c r="H149" s="626"/>
      <c r="I149" s="626"/>
      <c r="J149" s="626"/>
      <c r="K149" s="626"/>
      <c r="L149" s="627"/>
      <c r="M149" s="2"/>
      <c r="O149" s="11"/>
      <c r="P149" s="11"/>
    </row>
    <row r="150" spans="2:16" x14ac:dyDescent="0.35">
      <c r="B150" s="880"/>
      <c r="C150" s="646"/>
      <c r="D150" s="626"/>
      <c r="E150" s="626"/>
      <c r="F150" s="626"/>
      <c r="G150" s="626"/>
      <c r="H150" s="626"/>
      <c r="I150" s="626"/>
      <c r="J150" s="626"/>
      <c r="K150" s="626"/>
      <c r="L150" s="627"/>
      <c r="M150" s="2"/>
      <c r="O150" s="11"/>
      <c r="P150" s="11"/>
    </row>
    <row r="151" spans="2:16" x14ac:dyDescent="0.35">
      <c r="B151" s="880"/>
      <c r="C151" s="646"/>
      <c r="D151" s="626"/>
      <c r="E151" s="626"/>
      <c r="F151" s="626"/>
      <c r="G151" s="626"/>
      <c r="H151" s="626"/>
      <c r="I151" s="626"/>
      <c r="J151" s="626"/>
      <c r="K151" s="626"/>
      <c r="L151" s="627"/>
      <c r="M151" s="2"/>
      <c r="O151" s="11"/>
      <c r="P151" s="11"/>
    </row>
    <row r="152" spans="2:16" x14ac:dyDescent="0.35">
      <c r="B152" s="880"/>
      <c r="C152" s="646"/>
      <c r="D152" s="626"/>
      <c r="E152" s="626"/>
      <c r="F152" s="626"/>
      <c r="G152" s="626"/>
      <c r="H152" s="626"/>
      <c r="I152" s="626"/>
      <c r="J152" s="626"/>
      <c r="K152" s="626"/>
      <c r="L152" s="627"/>
      <c r="M152" s="2"/>
      <c r="O152" s="11"/>
      <c r="P152" s="11"/>
    </row>
    <row r="153" spans="2:16" x14ac:dyDescent="0.35">
      <c r="B153" s="880"/>
      <c r="C153" s="646"/>
      <c r="D153" s="626"/>
      <c r="E153" s="626"/>
      <c r="F153" s="626"/>
      <c r="G153" s="626"/>
      <c r="H153" s="626"/>
      <c r="I153" s="626"/>
      <c r="J153" s="626"/>
      <c r="K153" s="626"/>
      <c r="L153" s="627"/>
      <c r="M153" s="2"/>
      <c r="O153" s="11"/>
      <c r="P153" s="11"/>
    </row>
    <row r="154" spans="2:16" x14ac:dyDescent="0.35">
      <c r="B154" s="880"/>
      <c r="C154" s="646"/>
      <c r="D154" s="626"/>
      <c r="E154" s="626"/>
      <c r="F154" s="626"/>
      <c r="G154" s="626"/>
      <c r="H154" s="626"/>
      <c r="I154" s="626"/>
      <c r="J154" s="626"/>
      <c r="K154" s="626"/>
      <c r="L154" s="627"/>
      <c r="M154" s="2"/>
      <c r="O154" s="11"/>
      <c r="P154" s="11"/>
    </row>
    <row r="155" spans="2:16" x14ac:dyDescent="0.35">
      <c r="B155" s="880"/>
      <c r="C155" s="646"/>
      <c r="D155" s="626"/>
      <c r="E155" s="626"/>
      <c r="F155" s="626"/>
      <c r="G155" s="626"/>
      <c r="H155" s="626"/>
      <c r="I155" s="626"/>
      <c r="J155" s="626"/>
      <c r="K155" s="626"/>
      <c r="L155" s="627"/>
      <c r="M155" s="2"/>
      <c r="O155" s="11"/>
      <c r="P155" s="11"/>
    </row>
    <row r="156" spans="2:16" x14ac:dyDescent="0.35">
      <c r="B156" s="880"/>
      <c r="C156" s="646"/>
      <c r="D156" s="626"/>
      <c r="E156" s="626"/>
      <c r="F156" s="626"/>
      <c r="G156" s="626"/>
      <c r="H156" s="626"/>
      <c r="I156" s="626"/>
      <c r="J156" s="626"/>
      <c r="K156" s="626"/>
      <c r="L156" s="627"/>
      <c r="M156" s="2"/>
      <c r="O156" s="11"/>
      <c r="P156" s="11"/>
    </row>
    <row r="157" spans="2:16" x14ac:dyDescent="0.35">
      <c r="B157" s="880" t="str">
        <f>IF(Intro!$G$21="English",O157,P157)</f>
        <v>Événement 4</v>
      </c>
      <c r="C157" s="646"/>
      <c r="D157" s="626"/>
      <c r="E157" s="626"/>
      <c r="F157" s="626"/>
      <c r="G157" s="626"/>
      <c r="H157" s="626"/>
      <c r="I157" s="626"/>
      <c r="J157" s="626"/>
      <c r="K157" s="626"/>
      <c r="L157" s="627"/>
      <c r="M157" s="2"/>
      <c r="O157" s="11" t="s">
        <v>245</v>
      </c>
      <c r="P157" s="11" t="s">
        <v>246</v>
      </c>
    </row>
    <row r="158" spans="2:16" x14ac:dyDescent="0.35">
      <c r="B158" s="880"/>
      <c r="C158" s="646"/>
      <c r="D158" s="626"/>
      <c r="E158" s="626"/>
      <c r="F158" s="626"/>
      <c r="G158" s="626"/>
      <c r="H158" s="626"/>
      <c r="I158" s="626"/>
      <c r="J158" s="626"/>
      <c r="K158" s="626"/>
      <c r="L158" s="627"/>
      <c r="M158" s="2"/>
    </row>
    <row r="159" spans="2:16" x14ac:dyDescent="0.35">
      <c r="B159" s="880"/>
      <c r="C159" s="646"/>
      <c r="D159" s="626"/>
      <c r="E159" s="626"/>
      <c r="F159" s="626"/>
      <c r="G159" s="626"/>
      <c r="H159" s="626"/>
      <c r="I159" s="626"/>
      <c r="J159" s="626"/>
      <c r="K159" s="626"/>
      <c r="L159" s="627"/>
      <c r="M159" s="2"/>
      <c r="O159" s="11"/>
      <c r="P159" s="11"/>
    </row>
    <row r="160" spans="2:16" x14ac:dyDescent="0.35">
      <c r="B160" s="880"/>
      <c r="C160" s="646"/>
      <c r="D160" s="626"/>
      <c r="E160" s="626"/>
      <c r="F160" s="626"/>
      <c r="G160" s="626"/>
      <c r="H160" s="626"/>
      <c r="I160" s="626"/>
      <c r="J160" s="626"/>
      <c r="K160" s="626"/>
      <c r="L160" s="627"/>
      <c r="M160" s="2"/>
      <c r="O160" s="11"/>
      <c r="P160" s="11"/>
    </row>
    <row r="161" spans="2:16" x14ac:dyDescent="0.35">
      <c r="B161" s="880"/>
      <c r="C161" s="646"/>
      <c r="D161" s="626"/>
      <c r="E161" s="626"/>
      <c r="F161" s="626"/>
      <c r="G161" s="626"/>
      <c r="H161" s="626"/>
      <c r="I161" s="626"/>
      <c r="J161" s="626"/>
      <c r="K161" s="626"/>
      <c r="L161" s="627"/>
      <c r="M161" s="2"/>
      <c r="O161" s="11"/>
      <c r="P161" s="11"/>
    </row>
    <row r="162" spans="2:16" x14ac:dyDescent="0.35">
      <c r="B162" s="880"/>
      <c r="C162" s="646"/>
      <c r="D162" s="626"/>
      <c r="E162" s="626"/>
      <c r="F162" s="626"/>
      <c r="G162" s="626"/>
      <c r="H162" s="626"/>
      <c r="I162" s="626"/>
      <c r="J162" s="626"/>
      <c r="K162" s="626"/>
      <c r="L162" s="627"/>
      <c r="M162" s="2"/>
      <c r="O162" s="11"/>
      <c r="P162" s="11"/>
    </row>
    <row r="163" spans="2:16" x14ac:dyDescent="0.35">
      <c r="B163" s="880"/>
      <c r="C163" s="646"/>
      <c r="D163" s="626"/>
      <c r="E163" s="626"/>
      <c r="F163" s="626"/>
      <c r="G163" s="626"/>
      <c r="H163" s="626"/>
      <c r="I163" s="626"/>
      <c r="J163" s="626"/>
      <c r="K163" s="626"/>
      <c r="L163" s="627"/>
      <c r="M163" s="2"/>
      <c r="O163" s="11"/>
      <c r="P163" s="11"/>
    </row>
    <row r="164" spans="2:16" x14ac:dyDescent="0.35">
      <c r="B164" s="880"/>
      <c r="C164" s="646"/>
      <c r="D164" s="626"/>
      <c r="E164" s="626"/>
      <c r="F164" s="626"/>
      <c r="G164" s="626"/>
      <c r="H164" s="626"/>
      <c r="I164" s="626"/>
      <c r="J164" s="626"/>
      <c r="K164" s="626"/>
      <c r="L164" s="627"/>
      <c r="M164" s="2"/>
      <c r="O164" s="11"/>
      <c r="P164" s="11"/>
    </row>
    <row r="165" spans="2:16" x14ac:dyDescent="0.35">
      <c r="B165" s="880"/>
      <c r="C165" s="646"/>
      <c r="D165" s="626"/>
      <c r="E165" s="626"/>
      <c r="F165" s="626"/>
      <c r="G165" s="626"/>
      <c r="H165" s="626"/>
      <c r="I165" s="626"/>
      <c r="J165" s="626"/>
      <c r="K165" s="626"/>
      <c r="L165" s="627"/>
      <c r="M165" s="2"/>
      <c r="O165" s="11"/>
      <c r="P165" s="11"/>
    </row>
    <row r="166" spans="2:16" x14ac:dyDescent="0.35">
      <c r="B166" s="880"/>
      <c r="C166" s="646"/>
      <c r="D166" s="626"/>
      <c r="E166" s="626"/>
      <c r="F166" s="626"/>
      <c r="G166" s="626"/>
      <c r="H166" s="626"/>
      <c r="I166" s="626"/>
      <c r="J166" s="626"/>
      <c r="K166" s="626"/>
      <c r="L166" s="627"/>
      <c r="M166" s="2"/>
      <c r="O166" s="11"/>
      <c r="P166" s="11"/>
    </row>
    <row r="167" spans="2:16" x14ac:dyDescent="0.35">
      <c r="B167" s="880" t="str">
        <f>IF(Intro!$G$21="English",O167,P167)</f>
        <v>Événement 5</v>
      </c>
      <c r="C167" s="646"/>
      <c r="D167" s="626"/>
      <c r="E167" s="626"/>
      <c r="F167" s="626"/>
      <c r="G167" s="626"/>
      <c r="H167" s="626"/>
      <c r="I167" s="626"/>
      <c r="J167" s="626"/>
      <c r="K167" s="626"/>
      <c r="L167" s="627"/>
      <c r="M167" s="2"/>
      <c r="O167" s="11" t="s">
        <v>247</v>
      </c>
      <c r="P167" s="11" t="s">
        <v>248</v>
      </c>
    </row>
    <row r="168" spans="2:16" x14ac:dyDescent="0.35">
      <c r="B168" s="880"/>
      <c r="C168" s="646"/>
      <c r="D168" s="626"/>
      <c r="E168" s="626"/>
      <c r="F168" s="626"/>
      <c r="G168" s="626"/>
      <c r="H168" s="626"/>
      <c r="I168" s="626"/>
      <c r="J168" s="626"/>
      <c r="K168" s="626"/>
      <c r="L168" s="627"/>
      <c r="M168" s="2"/>
      <c r="O168" s="11"/>
      <c r="P168" s="11"/>
    </row>
    <row r="169" spans="2:16" x14ac:dyDescent="0.35">
      <c r="B169" s="880"/>
      <c r="C169" s="646"/>
      <c r="D169" s="626"/>
      <c r="E169" s="626"/>
      <c r="F169" s="626"/>
      <c r="G169" s="626"/>
      <c r="H169" s="626"/>
      <c r="I169" s="626"/>
      <c r="J169" s="626"/>
      <c r="K169" s="626"/>
      <c r="L169" s="627"/>
      <c r="M169" s="2"/>
      <c r="O169" s="11"/>
      <c r="P169" s="11"/>
    </row>
    <row r="170" spans="2:16" x14ac:dyDescent="0.35">
      <c r="B170" s="880"/>
      <c r="C170" s="646"/>
      <c r="D170" s="626"/>
      <c r="E170" s="626"/>
      <c r="F170" s="626"/>
      <c r="G170" s="626"/>
      <c r="H170" s="626"/>
      <c r="I170" s="626"/>
      <c r="J170" s="626"/>
      <c r="K170" s="626"/>
      <c r="L170" s="627"/>
      <c r="M170" s="2"/>
      <c r="O170" s="11"/>
      <c r="P170" s="11"/>
    </row>
    <row r="171" spans="2:16" x14ac:dyDescent="0.35">
      <c r="B171" s="880"/>
      <c r="C171" s="646"/>
      <c r="D171" s="626"/>
      <c r="E171" s="626"/>
      <c r="F171" s="626"/>
      <c r="G171" s="626"/>
      <c r="H171" s="626"/>
      <c r="I171" s="626"/>
      <c r="J171" s="626"/>
      <c r="K171" s="626"/>
      <c r="L171" s="627"/>
      <c r="M171" s="2"/>
      <c r="O171" s="11"/>
      <c r="P171" s="11"/>
    </row>
    <row r="172" spans="2:16" x14ac:dyDescent="0.35">
      <c r="B172" s="880"/>
      <c r="C172" s="646"/>
      <c r="D172" s="626"/>
      <c r="E172" s="626"/>
      <c r="F172" s="626"/>
      <c r="G172" s="626"/>
      <c r="H172" s="626"/>
      <c r="I172" s="626"/>
      <c r="J172" s="626"/>
      <c r="K172" s="626"/>
      <c r="L172" s="627"/>
      <c r="M172" s="2"/>
      <c r="O172" s="11"/>
      <c r="P172" s="11"/>
    </row>
    <row r="173" spans="2:16" x14ac:dyDescent="0.35">
      <c r="B173" s="880"/>
      <c r="C173" s="646"/>
      <c r="D173" s="626"/>
      <c r="E173" s="626"/>
      <c r="F173" s="626"/>
      <c r="G173" s="626"/>
      <c r="H173" s="626"/>
      <c r="I173" s="626"/>
      <c r="J173" s="626"/>
      <c r="K173" s="626"/>
      <c r="L173" s="627"/>
      <c r="M173" s="2"/>
      <c r="O173" s="11"/>
      <c r="P173" s="11"/>
    </row>
    <row r="174" spans="2:16" x14ac:dyDescent="0.35">
      <c r="B174" s="880"/>
      <c r="C174" s="646"/>
      <c r="D174" s="626"/>
      <c r="E174" s="626"/>
      <c r="F174" s="626"/>
      <c r="G174" s="626"/>
      <c r="H174" s="626"/>
      <c r="I174" s="626"/>
      <c r="J174" s="626"/>
      <c r="K174" s="626"/>
      <c r="L174" s="627"/>
      <c r="M174" s="2"/>
      <c r="O174" s="11"/>
      <c r="P174" s="11"/>
    </row>
    <row r="175" spans="2:16" x14ac:dyDescent="0.35">
      <c r="B175" s="880"/>
      <c r="C175" s="646"/>
      <c r="D175" s="626"/>
      <c r="E175" s="626"/>
      <c r="F175" s="626"/>
      <c r="G175" s="626"/>
      <c r="H175" s="626"/>
      <c r="I175" s="626"/>
      <c r="J175" s="626"/>
      <c r="K175" s="626"/>
      <c r="L175" s="627"/>
      <c r="M175" s="2"/>
      <c r="O175" s="11"/>
      <c r="P175" s="11"/>
    </row>
    <row r="176" spans="2:16" x14ac:dyDescent="0.35">
      <c r="B176" s="880"/>
      <c r="C176" s="646"/>
      <c r="D176" s="626"/>
      <c r="E176" s="626"/>
      <c r="F176" s="626"/>
      <c r="G176" s="626"/>
      <c r="H176" s="626"/>
      <c r="I176" s="626"/>
      <c r="J176" s="626"/>
      <c r="K176" s="626"/>
      <c r="L176" s="627"/>
      <c r="M176" s="2"/>
      <c r="O176" s="11"/>
      <c r="P176" s="11"/>
    </row>
    <row r="177" spans="1:16" x14ac:dyDescent="0.35">
      <c r="B177" s="36"/>
      <c r="C177" s="143"/>
      <c r="D177" s="39"/>
      <c r="E177" s="32"/>
      <c r="F177" s="32"/>
      <c r="G177" s="32"/>
      <c r="H177" s="32"/>
      <c r="I177" s="32"/>
      <c r="J177" s="32"/>
      <c r="K177" s="32"/>
      <c r="L177" s="33"/>
      <c r="M177" s="2"/>
      <c r="O177" s="11"/>
    </row>
    <row r="178" spans="1:16" x14ac:dyDescent="0.35">
      <c r="B178" s="144"/>
      <c r="C178" s="144"/>
      <c r="D178" s="34"/>
      <c r="E178" s="35"/>
      <c r="F178" s="35"/>
      <c r="G178" s="35"/>
      <c r="H178" s="35"/>
      <c r="I178" s="35"/>
      <c r="J178" s="35"/>
      <c r="K178" s="35"/>
      <c r="L178" s="35"/>
      <c r="M178" s="2"/>
      <c r="O178" s="11"/>
    </row>
    <row r="179" spans="1:16" x14ac:dyDescent="0.35">
      <c r="B179" s="599" t="str">
        <f>IF(Intro!$G$21="English",O179,P179)</f>
        <v>ÉTAT DES RÉSULTATS - POUR LES MARCHANDISES SEULEMENT</v>
      </c>
      <c r="C179" s="600"/>
      <c r="D179" s="600"/>
      <c r="E179" s="600"/>
      <c r="F179" s="600"/>
      <c r="G179" s="600"/>
      <c r="H179" s="600"/>
      <c r="I179" s="600"/>
      <c r="J179" s="600"/>
      <c r="K179" s="600"/>
      <c r="L179" s="601"/>
      <c r="M179" s="2"/>
      <c r="O179" s="2" t="s">
        <v>837</v>
      </c>
      <c r="P179" s="2" t="s">
        <v>850</v>
      </c>
    </row>
    <row r="180" spans="1:16" s="3" customFormat="1" x14ac:dyDescent="0.35">
      <c r="A180" s="12"/>
      <c r="B180" s="710" t="s">
        <v>28</v>
      </c>
      <c r="C180" s="711"/>
      <c r="D180" s="711"/>
      <c r="E180" s="711"/>
      <c r="F180" s="711"/>
      <c r="G180" s="711"/>
      <c r="H180" s="711"/>
      <c r="I180" s="711"/>
      <c r="J180" s="711"/>
      <c r="K180" s="711"/>
      <c r="L180" s="712"/>
      <c r="M180" s="167"/>
    </row>
    <row r="181" spans="1:16" x14ac:dyDescent="0.35">
      <c r="B181" s="169"/>
      <c r="C181" s="170"/>
      <c r="D181" s="170"/>
      <c r="E181" s="170"/>
      <c r="F181" s="170"/>
      <c r="G181" s="170"/>
      <c r="H181" s="170"/>
      <c r="I181" s="170"/>
      <c r="J181" s="170"/>
      <c r="K181" s="170"/>
      <c r="L181" s="171"/>
      <c r="M181" s="2"/>
    </row>
    <row r="182" spans="1:16" x14ac:dyDescent="0.35">
      <c r="B182" s="602" t="str">
        <f>IF(Intro!$G$21="English",O182,P182)</f>
        <v>Fournissez l'état des résultats de votre entreprise pour ses ventes au Canada et à l'exportation des marchandises produites au Canada. Cet état doit être préparé en utilisant la méthode du coût de revient complet et déclaré selon le régime de l’année civile.</v>
      </c>
      <c r="C182" s="603"/>
      <c r="D182" s="603"/>
      <c r="E182" s="603"/>
      <c r="F182" s="603"/>
      <c r="G182" s="603"/>
      <c r="H182" s="603"/>
      <c r="I182" s="603"/>
      <c r="J182" s="603"/>
      <c r="K182" s="603"/>
      <c r="L182" s="604"/>
      <c r="M182" s="2"/>
      <c r="O182" s="2" t="s">
        <v>249</v>
      </c>
      <c r="P182" s="17" t="s">
        <v>250</v>
      </c>
    </row>
    <row r="183" spans="1:16" x14ac:dyDescent="0.35">
      <c r="B183" s="602"/>
      <c r="C183" s="603"/>
      <c r="D183" s="603"/>
      <c r="E183" s="603"/>
      <c r="F183" s="603"/>
      <c r="G183" s="603"/>
      <c r="H183" s="603"/>
      <c r="I183" s="603"/>
      <c r="J183" s="603"/>
      <c r="K183" s="603"/>
      <c r="L183" s="604"/>
      <c r="M183" s="2"/>
      <c r="P183" s="17"/>
    </row>
    <row r="184" spans="1:16" x14ac:dyDescent="0.35">
      <c r="B184" s="169"/>
      <c r="C184" s="170"/>
      <c r="D184" s="170"/>
      <c r="E184" s="170"/>
      <c r="F184" s="170"/>
      <c r="G184" s="170"/>
      <c r="H184" s="170"/>
      <c r="I184" s="170"/>
      <c r="J184" s="170"/>
      <c r="K184" s="170"/>
      <c r="L184" s="171"/>
      <c r="M184" s="2"/>
    </row>
    <row r="185" spans="1:16" x14ac:dyDescent="0.35">
      <c r="B185" s="896" t="str">
        <f>IF(Intro!$G$21="English",O185,P185)</f>
        <v>Pour les ventes au Canada</v>
      </c>
      <c r="C185" s="769"/>
      <c r="D185" s="769"/>
      <c r="E185" s="769"/>
      <c r="F185" s="769"/>
      <c r="G185" s="769">
        <f>Variables!$B$6</f>
        <v>2023</v>
      </c>
      <c r="H185" s="769">
        <f>G185+1</f>
        <v>2024</v>
      </c>
      <c r="I185" s="769">
        <f>H185+1</f>
        <v>2025</v>
      </c>
      <c r="J185" s="769" t="str">
        <f>J111</f>
        <v>janv.-mars 2025</v>
      </c>
      <c r="K185" s="769" t="str">
        <f>K111</f>
        <v>janv.-mars 2026</v>
      </c>
      <c r="L185" s="178"/>
      <c r="M185" s="2"/>
      <c r="O185" s="11" t="s">
        <v>43</v>
      </c>
      <c r="P185" s="11" t="s">
        <v>44</v>
      </c>
    </row>
    <row r="186" spans="1:16" x14ac:dyDescent="0.35">
      <c r="B186" s="896"/>
      <c r="C186" s="769"/>
      <c r="D186" s="769"/>
      <c r="E186" s="769"/>
      <c r="F186" s="769"/>
      <c r="G186" s="769"/>
      <c r="H186" s="769"/>
      <c r="I186" s="769"/>
      <c r="J186" s="769"/>
      <c r="K186" s="769"/>
      <c r="L186" s="178"/>
      <c r="M186" s="2"/>
      <c r="O186" s="11"/>
      <c r="P186" s="11"/>
    </row>
    <row r="187" spans="1:16" x14ac:dyDescent="0.35">
      <c r="B187" s="890" t="str">
        <f>IF(Intro!$G$21="English",O187,P187)</f>
        <v>Valeur de vente nette</v>
      </c>
      <c r="C187" s="891"/>
      <c r="D187" s="891"/>
      <c r="E187" s="891"/>
      <c r="F187" s="213" t="s">
        <v>559</v>
      </c>
      <c r="G187" s="249"/>
      <c r="H187" s="249"/>
      <c r="I187" s="249"/>
      <c r="J187" s="249"/>
      <c r="K187" s="249"/>
      <c r="L187" s="178"/>
      <c r="M187" s="2"/>
      <c r="O187" s="2" t="s">
        <v>70</v>
      </c>
      <c r="P187" s="2" t="s">
        <v>71</v>
      </c>
    </row>
    <row r="188" spans="1:16" x14ac:dyDescent="0.35">
      <c r="B188" s="892" t="str">
        <f>IF(Intro!$G$21="English",O188,P188)</f>
        <v>Stock d'ouverture</v>
      </c>
      <c r="C188" s="893"/>
      <c r="D188" s="893"/>
      <c r="E188" s="893"/>
      <c r="F188" s="213" t="s">
        <v>559</v>
      </c>
      <c r="G188" s="249"/>
      <c r="H188" s="249"/>
      <c r="I188" s="249"/>
      <c r="J188" s="249"/>
      <c r="K188" s="249"/>
      <c r="L188" s="178"/>
      <c r="M188" s="2"/>
      <c r="O188" s="11" t="s">
        <v>72</v>
      </c>
      <c r="P188" s="2" t="s">
        <v>73</v>
      </c>
    </row>
    <row r="189" spans="1:16" x14ac:dyDescent="0.35">
      <c r="B189" s="892" t="str">
        <f>IF(Intro!$G$21="English",O189,P189)</f>
        <v>Coût des marchandises fabriquées</v>
      </c>
      <c r="C189" s="893"/>
      <c r="D189" s="893"/>
      <c r="E189" s="893"/>
      <c r="F189" s="213" t="s">
        <v>559</v>
      </c>
      <c r="G189" s="250">
        <f>G33</f>
        <v>0</v>
      </c>
      <c r="H189" s="250">
        <f>H33</f>
        <v>0</v>
      </c>
      <c r="I189" s="250">
        <f>I33</f>
        <v>0</v>
      </c>
      <c r="J189" s="250">
        <f>J33</f>
        <v>0</v>
      </c>
      <c r="K189" s="250">
        <f>K33</f>
        <v>0</v>
      </c>
      <c r="L189" s="178"/>
      <c r="M189" s="2"/>
      <c r="O189" s="11" t="s">
        <v>64</v>
      </c>
      <c r="P189" s="2" t="s">
        <v>251</v>
      </c>
    </row>
    <row r="190" spans="1:16" x14ac:dyDescent="0.35">
      <c r="B190" s="892" t="str">
        <f>IF(Intro!$G$21="English",O190,P190)</f>
        <v>Stock de clôture</v>
      </c>
      <c r="C190" s="893"/>
      <c r="D190" s="893"/>
      <c r="E190" s="893"/>
      <c r="F190" s="213" t="s">
        <v>559</v>
      </c>
      <c r="G190" s="249"/>
      <c r="H190" s="249"/>
      <c r="I190" s="249"/>
      <c r="J190" s="249"/>
      <c r="K190" s="249"/>
      <c r="L190" s="178"/>
      <c r="M190" s="2"/>
      <c r="O190" s="11" t="s">
        <v>252</v>
      </c>
      <c r="P190" s="2" t="s">
        <v>590</v>
      </c>
    </row>
    <row r="191" spans="1:16" s="3" customFormat="1" x14ac:dyDescent="0.35">
      <c r="A191" s="18"/>
      <c r="B191" s="894" t="str">
        <f>IF(Intro!$G$21="English",O191,P191)</f>
        <v>Coût des marchandises vendues</v>
      </c>
      <c r="C191" s="895"/>
      <c r="D191" s="895"/>
      <c r="E191" s="895"/>
      <c r="F191" s="213" t="s">
        <v>559</v>
      </c>
      <c r="G191" s="257">
        <f>G188+G189-G190</f>
        <v>0</v>
      </c>
      <c r="H191" s="257">
        <f>H188+H189-H190</f>
        <v>0</v>
      </c>
      <c r="I191" s="257">
        <f t="shared" ref="I191:J191" si="12">I188+I189-I190</f>
        <v>0</v>
      </c>
      <c r="J191" s="257">
        <f t="shared" si="12"/>
        <v>0</v>
      </c>
      <c r="K191" s="257">
        <f t="shared" ref="K191" si="13">K188+K189-K190</f>
        <v>0</v>
      </c>
      <c r="L191" s="178"/>
      <c r="O191" s="3" t="s">
        <v>74</v>
      </c>
      <c r="P191" s="3" t="s">
        <v>48</v>
      </c>
    </row>
    <row r="192" spans="1:16" s="3" customFormat="1" x14ac:dyDescent="0.35">
      <c r="A192" s="18"/>
      <c r="B192" s="888" t="str">
        <f>IF(Intro!$G$21="English",O192,P192)</f>
        <v>Marge bénéficiaire brute (perte brute)</v>
      </c>
      <c r="C192" s="889"/>
      <c r="D192" s="889"/>
      <c r="E192" s="889"/>
      <c r="F192" s="213" t="s">
        <v>559</v>
      </c>
      <c r="G192" s="257">
        <f>G187-G191</f>
        <v>0</v>
      </c>
      <c r="H192" s="257">
        <f t="shared" ref="H192:I192" si="14">H187-H191</f>
        <v>0</v>
      </c>
      <c r="I192" s="257">
        <f t="shared" si="14"/>
        <v>0</v>
      </c>
      <c r="J192" s="257">
        <f t="shared" ref="J192:K192" si="15">J187-J191</f>
        <v>0</v>
      </c>
      <c r="K192" s="257">
        <f t="shared" si="15"/>
        <v>0</v>
      </c>
      <c r="L192" s="178"/>
      <c r="O192" s="3" t="s">
        <v>49</v>
      </c>
      <c r="P192" s="3" t="s">
        <v>50</v>
      </c>
    </row>
    <row r="193" spans="1:16" x14ac:dyDescent="0.35">
      <c r="B193" s="892" t="str">
        <f>IF(Intro!$G$21="English",O193,P193)</f>
        <v xml:space="preserve">Frais généraux, de vente, et d'administration </v>
      </c>
      <c r="C193" s="893"/>
      <c r="D193" s="893"/>
      <c r="E193" s="893"/>
      <c r="F193" s="213" t="s">
        <v>559</v>
      </c>
      <c r="G193" s="249"/>
      <c r="H193" s="249"/>
      <c r="I193" s="249"/>
      <c r="J193" s="249"/>
      <c r="K193" s="249"/>
      <c r="L193" s="178"/>
      <c r="M193" s="2"/>
      <c r="O193" s="2" t="s">
        <v>75</v>
      </c>
      <c r="P193" s="2" t="s">
        <v>76</v>
      </c>
    </row>
    <row r="194" spans="1:16" x14ac:dyDescent="0.35">
      <c r="B194" s="892" t="str">
        <f>IF(Intro!$G$21="English",O194,P194)</f>
        <v>Charges financières</v>
      </c>
      <c r="C194" s="893"/>
      <c r="D194" s="893"/>
      <c r="E194" s="893"/>
      <c r="F194" s="213" t="s">
        <v>559</v>
      </c>
      <c r="G194" s="249"/>
      <c r="H194" s="249"/>
      <c r="I194" s="249"/>
      <c r="J194" s="249"/>
      <c r="K194" s="249"/>
      <c r="L194" s="178"/>
      <c r="M194" s="2"/>
      <c r="O194" s="2" t="s">
        <v>53</v>
      </c>
      <c r="P194" s="2" t="s">
        <v>54</v>
      </c>
    </row>
    <row r="195" spans="1:16" x14ac:dyDescent="0.35">
      <c r="B195" s="892" t="str">
        <f>IF(Intro!$G$21="English",O195,P195)</f>
        <v>Autres dépenses</v>
      </c>
      <c r="C195" s="893"/>
      <c r="D195" s="893"/>
      <c r="E195" s="893"/>
      <c r="F195" s="213" t="s">
        <v>559</v>
      </c>
      <c r="G195" s="249"/>
      <c r="H195" s="249"/>
      <c r="I195" s="249"/>
      <c r="J195" s="249"/>
      <c r="K195" s="249"/>
      <c r="L195" s="178"/>
      <c r="M195" s="2"/>
      <c r="O195" s="2" t="s">
        <v>114</v>
      </c>
      <c r="P195" s="2" t="s">
        <v>115</v>
      </c>
    </row>
    <row r="196" spans="1:16" s="3" customFormat="1" x14ac:dyDescent="0.35">
      <c r="A196" s="18"/>
      <c r="B196" s="888" t="str">
        <f>IF(Intro!$G$21="English",O196,P196)</f>
        <v>Revenu net (perte nette) avant impôts</v>
      </c>
      <c r="C196" s="889"/>
      <c r="D196" s="889"/>
      <c r="E196" s="889"/>
      <c r="F196" s="213" t="s">
        <v>559</v>
      </c>
      <c r="G196" s="257">
        <f>G192-G193-G194-G195</f>
        <v>0</v>
      </c>
      <c r="H196" s="257">
        <f t="shared" ref="H196:I196" si="16">H192-H193-H194-H195</f>
        <v>0</v>
      </c>
      <c r="I196" s="257">
        <f t="shared" si="16"/>
        <v>0</v>
      </c>
      <c r="J196" s="257">
        <f t="shared" ref="J196:K196" si="17">J192-J193-J194-J195</f>
        <v>0</v>
      </c>
      <c r="K196" s="257">
        <f t="shared" si="17"/>
        <v>0</v>
      </c>
      <c r="L196" s="178"/>
      <c r="O196" s="3" t="s">
        <v>55</v>
      </c>
      <c r="P196" s="3" t="s">
        <v>56</v>
      </c>
    </row>
    <row r="197" spans="1:16" x14ac:dyDescent="0.35">
      <c r="B197" s="159"/>
      <c r="C197" s="160"/>
      <c r="D197" s="2"/>
      <c r="E197" s="2"/>
      <c r="F197" s="25"/>
      <c r="G197" s="26"/>
      <c r="H197" s="26"/>
      <c r="I197" s="26"/>
      <c r="J197" s="26"/>
      <c r="K197" s="26"/>
      <c r="L197" s="27"/>
      <c r="M197" s="2"/>
      <c r="O197" s="11"/>
    </row>
    <row r="198" spans="1:16" s="3" customFormat="1" x14ac:dyDescent="0.35">
      <c r="A198" s="18"/>
      <c r="B198" s="602" t="str">
        <f>B35</f>
        <v>Expliquez toute variation importante entre les périodes et toute irrégularité tels que des montants négatifs dans les montants indiqués ci-dessus.</v>
      </c>
      <c r="C198" s="603"/>
      <c r="D198" s="603"/>
      <c r="E198" s="603"/>
      <c r="F198" s="603"/>
      <c r="G198" s="603"/>
      <c r="H198" s="603"/>
      <c r="I198" s="603"/>
      <c r="J198" s="603"/>
      <c r="K198" s="603"/>
      <c r="L198" s="604"/>
      <c r="O198" s="2"/>
      <c r="P198" s="2"/>
    </row>
    <row r="199" spans="1:16" s="3" customFormat="1" x14ac:dyDescent="0.35">
      <c r="A199" s="18"/>
      <c r="B199" s="223"/>
      <c r="C199" s="151"/>
      <c r="D199" s="151"/>
      <c r="E199" s="151"/>
      <c r="F199" s="151"/>
      <c r="G199" s="151"/>
      <c r="H199" s="151"/>
      <c r="I199" s="151"/>
      <c r="J199" s="151"/>
      <c r="K199" s="151"/>
      <c r="L199" s="178"/>
    </row>
    <row r="200" spans="1:16" s="3" customFormat="1" x14ac:dyDescent="0.35">
      <c r="A200" s="18"/>
      <c r="B200" s="882"/>
      <c r="C200" s="883"/>
      <c r="D200" s="883"/>
      <c r="E200" s="883"/>
      <c r="F200" s="883"/>
      <c r="G200" s="883"/>
      <c r="H200" s="883"/>
      <c r="I200" s="883"/>
      <c r="J200" s="883"/>
      <c r="K200" s="883"/>
      <c r="L200" s="884"/>
    </row>
    <row r="201" spans="1:16" s="3" customFormat="1" x14ac:dyDescent="0.35">
      <c r="A201" s="18"/>
      <c r="B201" s="882"/>
      <c r="C201" s="883"/>
      <c r="D201" s="883"/>
      <c r="E201" s="883"/>
      <c r="F201" s="883"/>
      <c r="G201" s="883"/>
      <c r="H201" s="883"/>
      <c r="I201" s="883"/>
      <c r="J201" s="883"/>
      <c r="K201" s="883"/>
      <c r="L201" s="884"/>
    </row>
    <row r="202" spans="1:16" s="3" customFormat="1" x14ac:dyDescent="0.35">
      <c r="A202" s="18"/>
      <c r="B202" s="882"/>
      <c r="C202" s="883"/>
      <c r="D202" s="883"/>
      <c r="E202" s="883"/>
      <c r="F202" s="883"/>
      <c r="G202" s="883"/>
      <c r="H202" s="883"/>
      <c r="I202" s="883"/>
      <c r="J202" s="883"/>
      <c r="K202" s="883"/>
      <c r="L202" s="884"/>
    </row>
    <row r="203" spans="1:16" s="3" customFormat="1" x14ac:dyDescent="0.35">
      <c r="A203" s="18"/>
      <c r="B203" s="882"/>
      <c r="C203" s="883"/>
      <c r="D203" s="883"/>
      <c r="E203" s="883"/>
      <c r="F203" s="883"/>
      <c r="G203" s="883"/>
      <c r="H203" s="883"/>
      <c r="I203" s="883"/>
      <c r="J203" s="883"/>
      <c r="K203" s="883"/>
      <c r="L203" s="884"/>
      <c r="O203" s="2"/>
      <c r="P203" s="2"/>
    </row>
    <row r="204" spans="1:16" s="3" customFormat="1" x14ac:dyDescent="0.35">
      <c r="A204" s="18"/>
      <c r="B204" s="882"/>
      <c r="C204" s="883"/>
      <c r="D204" s="883"/>
      <c r="E204" s="883"/>
      <c r="F204" s="883"/>
      <c r="G204" s="883"/>
      <c r="H204" s="883"/>
      <c r="I204" s="883"/>
      <c r="J204" s="883"/>
      <c r="K204" s="883"/>
      <c r="L204" s="884"/>
      <c r="O204" s="2"/>
      <c r="P204" s="2"/>
    </row>
    <row r="205" spans="1:16" s="3" customFormat="1" x14ac:dyDescent="0.35">
      <c r="A205" s="18"/>
      <c r="B205" s="882"/>
      <c r="C205" s="883"/>
      <c r="D205" s="883"/>
      <c r="E205" s="883"/>
      <c r="F205" s="883"/>
      <c r="G205" s="883"/>
      <c r="H205" s="883"/>
      <c r="I205" s="883"/>
      <c r="J205" s="883"/>
      <c r="K205" s="883"/>
      <c r="L205" s="884"/>
      <c r="O205" s="2"/>
      <c r="P205" s="2"/>
    </row>
    <row r="206" spans="1:16" s="3" customFormat="1" x14ac:dyDescent="0.35">
      <c r="A206" s="18"/>
      <c r="B206" s="882"/>
      <c r="C206" s="883"/>
      <c r="D206" s="883"/>
      <c r="E206" s="883"/>
      <c r="F206" s="883"/>
      <c r="G206" s="883"/>
      <c r="H206" s="883"/>
      <c r="I206" s="883"/>
      <c r="J206" s="883"/>
      <c r="K206" s="883"/>
      <c r="L206" s="884"/>
    </row>
    <row r="207" spans="1:16" s="3" customFormat="1" x14ac:dyDescent="0.35">
      <c r="A207" s="18"/>
      <c r="B207" s="882"/>
      <c r="C207" s="883"/>
      <c r="D207" s="883"/>
      <c r="E207" s="883"/>
      <c r="F207" s="883"/>
      <c r="G207" s="883"/>
      <c r="H207" s="883"/>
      <c r="I207" s="883"/>
      <c r="J207" s="883"/>
      <c r="K207" s="883"/>
      <c r="L207" s="884"/>
    </row>
    <row r="208" spans="1:16" x14ac:dyDescent="0.35">
      <c r="B208" s="159"/>
      <c r="C208" s="160"/>
      <c r="D208" s="2"/>
      <c r="E208" s="2"/>
      <c r="F208" s="25"/>
      <c r="G208" s="26"/>
      <c r="H208" s="26"/>
      <c r="I208" s="26"/>
      <c r="J208" s="26"/>
      <c r="K208" s="26"/>
      <c r="L208" s="27"/>
      <c r="M208" s="2"/>
      <c r="O208" s="11"/>
    </row>
    <row r="209" spans="1:16" x14ac:dyDescent="0.35">
      <c r="B209" s="896" t="str">
        <f>IF(Intro!$G$21="English",O209,P209)</f>
        <v>Pour les ventes à l'exportation</v>
      </c>
      <c r="C209" s="769"/>
      <c r="D209" s="769"/>
      <c r="E209" s="769"/>
      <c r="F209" s="769"/>
      <c r="G209" s="769">
        <f>G185</f>
        <v>2023</v>
      </c>
      <c r="H209" s="769">
        <f>H185</f>
        <v>2024</v>
      </c>
      <c r="I209" s="769">
        <f>I185</f>
        <v>2025</v>
      </c>
      <c r="J209" s="769" t="str">
        <f>J185</f>
        <v>janv.-mars 2025</v>
      </c>
      <c r="K209" s="769" t="str">
        <f>K185</f>
        <v>janv.-mars 2026</v>
      </c>
      <c r="L209" s="178"/>
      <c r="M209" s="2"/>
      <c r="O209" s="11" t="s">
        <v>214</v>
      </c>
      <c r="P209" s="11" t="s">
        <v>215</v>
      </c>
    </row>
    <row r="210" spans="1:16" x14ac:dyDescent="0.35">
      <c r="B210" s="896"/>
      <c r="C210" s="769"/>
      <c r="D210" s="769"/>
      <c r="E210" s="769"/>
      <c r="F210" s="769"/>
      <c r="G210" s="769"/>
      <c r="H210" s="769"/>
      <c r="I210" s="769"/>
      <c r="J210" s="769"/>
      <c r="K210" s="769"/>
      <c r="L210" s="178"/>
      <c r="M210" s="2"/>
      <c r="O210" s="11"/>
      <c r="P210" s="11"/>
    </row>
    <row r="211" spans="1:16" x14ac:dyDescent="0.35">
      <c r="B211" s="890" t="str">
        <f t="shared" ref="B211:B220" si="18">B187</f>
        <v>Valeur de vente nette</v>
      </c>
      <c r="C211" s="891"/>
      <c r="D211" s="891"/>
      <c r="E211" s="891"/>
      <c r="F211" s="213" t="s">
        <v>559</v>
      </c>
      <c r="G211" s="249"/>
      <c r="H211" s="249"/>
      <c r="I211" s="249"/>
      <c r="J211" s="249"/>
      <c r="K211" s="249"/>
      <c r="L211" s="178"/>
      <c r="M211" s="2"/>
    </row>
    <row r="212" spans="1:16" x14ac:dyDescent="0.35">
      <c r="B212" s="890" t="str">
        <f t="shared" si="18"/>
        <v>Stock d'ouverture</v>
      </c>
      <c r="C212" s="891"/>
      <c r="D212" s="891"/>
      <c r="E212" s="891"/>
      <c r="F212" s="213" t="s">
        <v>559</v>
      </c>
      <c r="G212" s="249"/>
      <c r="H212" s="249"/>
      <c r="I212" s="249"/>
      <c r="J212" s="249"/>
      <c r="K212" s="249"/>
      <c r="L212" s="178"/>
      <c r="M212" s="2"/>
      <c r="O212" s="11"/>
    </row>
    <row r="213" spans="1:16" x14ac:dyDescent="0.35">
      <c r="B213" s="890" t="str">
        <f t="shared" si="18"/>
        <v>Coût des marchandises fabriquées</v>
      </c>
      <c r="C213" s="891"/>
      <c r="D213" s="891"/>
      <c r="E213" s="891"/>
      <c r="F213" s="213" t="s">
        <v>559</v>
      </c>
      <c r="G213" s="250">
        <f>G58</f>
        <v>0</v>
      </c>
      <c r="H213" s="250">
        <f>H58</f>
        <v>0</v>
      </c>
      <c r="I213" s="250">
        <f>I58</f>
        <v>0</v>
      </c>
      <c r="J213" s="250">
        <f>J58</f>
        <v>0</v>
      </c>
      <c r="K213" s="250">
        <f>K58</f>
        <v>0</v>
      </c>
      <c r="L213" s="178"/>
      <c r="M213" s="2"/>
      <c r="O213" s="11"/>
    </row>
    <row r="214" spans="1:16" x14ac:dyDescent="0.35">
      <c r="B214" s="890" t="str">
        <f t="shared" si="18"/>
        <v>Stock de clôture</v>
      </c>
      <c r="C214" s="891"/>
      <c r="D214" s="891"/>
      <c r="E214" s="891"/>
      <c r="F214" s="213" t="s">
        <v>559</v>
      </c>
      <c r="G214" s="249"/>
      <c r="H214" s="249"/>
      <c r="I214" s="249"/>
      <c r="J214" s="249"/>
      <c r="K214" s="249"/>
      <c r="L214" s="178"/>
      <c r="M214" s="2"/>
      <c r="O214" s="11"/>
    </row>
    <row r="215" spans="1:16" s="3" customFormat="1" x14ac:dyDescent="0.35">
      <c r="A215" s="18"/>
      <c r="B215" s="888" t="str">
        <f t="shared" si="18"/>
        <v>Coût des marchandises vendues</v>
      </c>
      <c r="C215" s="889"/>
      <c r="D215" s="889"/>
      <c r="E215" s="889"/>
      <c r="F215" s="213" t="s">
        <v>559</v>
      </c>
      <c r="G215" s="257">
        <f>G212+G213-G214</f>
        <v>0</v>
      </c>
      <c r="H215" s="257">
        <f>H212+H213-H214</f>
        <v>0</v>
      </c>
      <c r="I215" s="257">
        <f>I212+I213-I214</f>
        <v>0</v>
      </c>
      <c r="J215" s="257">
        <f>J212+J213-J214</f>
        <v>0</v>
      </c>
      <c r="K215" s="257">
        <f>K212+K213-K214</f>
        <v>0</v>
      </c>
      <c r="L215" s="178"/>
    </row>
    <row r="216" spans="1:16" s="3" customFormat="1" x14ac:dyDescent="0.35">
      <c r="A216" s="18"/>
      <c r="B216" s="888" t="str">
        <f t="shared" si="18"/>
        <v>Marge bénéficiaire brute (perte brute)</v>
      </c>
      <c r="C216" s="889"/>
      <c r="D216" s="889"/>
      <c r="E216" s="889"/>
      <c r="F216" s="213" t="s">
        <v>559</v>
      </c>
      <c r="G216" s="257">
        <f>G211-G215</f>
        <v>0</v>
      </c>
      <c r="H216" s="257">
        <f t="shared" ref="H216" si="19">H211-H215</f>
        <v>0</v>
      </c>
      <c r="I216" s="257">
        <f t="shared" ref="I216:J216" si="20">I211-I215</f>
        <v>0</v>
      </c>
      <c r="J216" s="257">
        <f t="shared" si="20"/>
        <v>0</v>
      </c>
      <c r="K216" s="257">
        <f t="shared" ref="K216" si="21">K211-K215</f>
        <v>0</v>
      </c>
      <c r="L216" s="178"/>
    </row>
    <row r="217" spans="1:16" x14ac:dyDescent="0.35">
      <c r="B217" s="890" t="str">
        <f t="shared" si="18"/>
        <v xml:space="preserve">Frais généraux, de vente, et d'administration </v>
      </c>
      <c r="C217" s="891"/>
      <c r="D217" s="891"/>
      <c r="E217" s="891"/>
      <c r="F217" s="213" t="s">
        <v>559</v>
      </c>
      <c r="G217" s="249"/>
      <c r="H217" s="249"/>
      <c r="I217" s="249"/>
      <c r="J217" s="249"/>
      <c r="K217" s="249"/>
      <c r="L217" s="178"/>
      <c r="M217" s="2"/>
    </row>
    <row r="218" spans="1:16" x14ac:dyDescent="0.35">
      <c r="B218" s="890" t="str">
        <f t="shared" si="18"/>
        <v>Charges financières</v>
      </c>
      <c r="C218" s="891"/>
      <c r="D218" s="891"/>
      <c r="E218" s="891"/>
      <c r="F218" s="213" t="s">
        <v>559</v>
      </c>
      <c r="G218" s="249"/>
      <c r="H218" s="249"/>
      <c r="I218" s="249"/>
      <c r="J218" s="249"/>
      <c r="K218" s="249"/>
      <c r="L218" s="178"/>
      <c r="M218" s="2"/>
    </row>
    <row r="219" spans="1:16" x14ac:dyDescent="0.35">
      <c r="B219" s="890" t="str">
        <f t="shared" si="18"/>
        <v>Autres dépenses</v>
      </c>
      <c r="C219" s="891"/>
      <c r="D219" s="891"/>
      <c r="E219" s="891"/>
      <c r="F219" s="213" t="s">
        <v>559</v>
      </c>
      <c r="G219" s="249"/>
      <c r="H219" s="249"/>
      <c r="I219" s="249"/>
      <c r="J219" s="249"/>
      <c r="K219" s="249"/>
      <c r="L219" s="178"/>
      <c r="M219" s="2"/>
    </row>
    <row r="220" spans="1:16" s="3" customFormat="1" x14ac:dyDescent="0.35">
      <c r="A220" s="18"/>
      <c r="B220" s="888" t="str">
        <f t="shared" si="18"/>
        <v>Revenu net (perte nette) avant impôts</v>
      </c>
      <c r="C220" s="889"/>
      <c r="D220" s="889"/>
      <c r="E220" s="889"/>
      <c r="F220" s="213" t="s">
        <v>559</v>
      </c>
      <c r="G220" s="257">
        <f>G216-G217-G218-G219</f>
        <v>0</v>
      </c>
      <c r="H220" s="257">
        <f t="shared" ref="H220" si="22">H216-H217-H218-H219</f>
        <v>0</v>
      </c>
      <c r="I220" s="257">
        <f t="shared" ref="I220:J220" si="23">I216-I217-I218-I219</f>
        <v>0</v>
      </c>
      <c r="J220" s="257">
        <f t="shared" si="23"/>
        <v>0</v>
      </c>
      <c r="K220" s="257">
        <f t="shared" ref="K220" si="24">K216-K217-K218-K219</f>
        <v>0</v>
      </c>
      <c r="L220" s="178"/>
    </row>
    <row r="221" spans="1:16" x14ac:dyDescent="0.35">
      <c r="B221" s="169"/>
      <c r="C221" s="170"/>
      <c r="D221" s="170"/>
      <c r="E221" s="170"/>
      <c r="F221" s="170"/>
      <c r="G221" s="170"/>
      <c r="H221" s="170"/>
      <c r="I221" s="170"/>
      <c r="J221" s="170"/>
      <c r="K221" s="170"/>
      <c r="L221" s="171"/>
      <c r="M221" s="2"/>
    </row>
    <row r="222" spans="1:16" s="3" customFormat="1" x14ac:dyDescent="0.35">
      <c r="A222" s="18"/>
      <c r="B222" s="602" t="str">
        <f>B35</f>
        <v>Expliquez toute variation importante entre les périodes et toute irrégularité tels que des montants négatifs dans les montants indiqués ci-dessus.</v>
      </c>
      <c r="C222" s="603"/>
      <c r="D222" s="603"/>
      <c r="E222" s="603"/>
      <c r="F222" s="603"/>
      <c r="G222" s="603"/>
      <c r="H222" s="603"/>
      <c r="I222" s="603"/>
      <c r="J222" s="603"/>
      <c r="K222" s="603"/>
      <c r="L222" s="604"/>
      <c r="O222" s="2"/>
      <c r="P222" s="2"/>
    </row>
    <row r="223" spans="1:16" s="3" customFormat="1" x14ac:dyDescent="0.35">
      <c r="A223" s="18"/>
      <c r="B223" s="223"/>
      <c r="C223" s="151"/>
      <c r="D223" s="151"/>
      <c r="E223" s="151"/>
      <c r="F223" s="151"/>
      <c r="G223" s="151"/>
      <c r="H223" s="151"/>
      <c r="I223" s="151"/>
      <c r="J223" s="151"/>
      <c r="K223" s="151"/>
      <c r="L223" s="178"/>
    </row>
    <row r="224" spans="1:16" s="3" customFormat="1" x14ac:dyDescent="0.35">
      <c r="A224" s="18"/>
      <c r="B224" s="882"/>
      <c r="C224" s="883"/>
      <c r="D224" s="883"/>
      <c r="E224" s="883"/>
      <c r="F224" s="883"/>
      <c r="G224" s="883"/>
      <c r="H224" s="883"/>
      <c r="I224" s="883"/>
      <c r="J224" s="883"/>
      <c r="K224" s="883"/>
      <c r="L224" s="884"/>
    </row>
    <row r="225" spans="1:16" s="3" customFormat="1" x14ac:dyDescent="0.35">
      <c r="A225" s="18"/>
      <c r="B225" s="882"/>
      <c r="C225" s="883"/>
      <c r="D225" s="883"/>
      <c r="E225" s="883"/>
      <c r="F225" s="883"/>
      <c r="G225" s="883"/>
      <c r="H225" s="883"/>
      <c r="I225" s="883"/>
      <c r="J225" s="883"/>
      <c r="K225" s="883"/>
      <c r="L225" s="884"/>
    </row>
    <row r="226" spans="1:16" s="3" customFormat="1" x14ac:dyDescent="0.35">
      <c r="A226" s="18"/>
      <c r="B226" s="882"/>
      <c r="C226" s="883"/>
      <c r="D226" s="883"/>
      <c r="E226" s="883"/>
      <c r="F226" s="883"/>
      <c r="G226" s="883"/>
      <c r="H226" s="883"/>
      <c r="I226" s="883"/>
      <c r="J226" s="883"/>
      <c r="K226" s="883"/>
      <c r="L226" s="884"/>
    </row>
    <row r="227" spans="1:16" s="3" customFormat="1" x14ac:dyDescent="0.35">
      <c r="A227" s="18"/>
      <c r="B227" s="882"/>
      <c r="C227" s="883"/>
      <c r="D227" s="883"/>
      <c r="E227" s="883"/>
      <c r="F227" s="883"/>
      <c r="G227" s="883"/>
      <c r="H227" s="883"/>
      <c r="I227" s="883"/>
      <c r="J227" s="883"/>
      <c r="K227" s="883"/>
      <c r="L227" s="884"/>
      <c r="O227" s="2"/>
      <c r="P227" s="2"/>
    </row>
    <row r="228" spans="1:16" s="3" customFormat="1" x14ac:dyDescent="0.35">
      <c r="A228" s="18"/>
      <c r="B228" s="882"/>
      <c r="C228" s="883"/>
      <c r="D228" s="883"/>
      <c r="E228" s="883"/>
      <c r="F228" s="883"/>
      <c r="G228" s="883"/>
      <c r="H228" s="883"/>
      <c r="I228" s="883"/>
      <c r="J228" s="883"/>
      <c r="K228" s="883"/>
      <c r="L228" s="884"/>
      <c r="O228" s="2"/>
      <c r="P228" s="2"/>
    </row>
    <row r="229" spans="1:16" s="3" customFormat="1" x14ac:dyDescent="0.35">
      <c r="A229" s="18"/>
      <c r="B229" s="882"/>
      <c r="C229" s="883"/>
      <c r="D229" s="883"/>
      <c r="E229" s="883"/>
      <c r="F229" s="883"/>
      <c r="G229" s="883"/>
      <c r="H229" s="883"/>
      <c r="I229" s="883"/>
      <c r="J229" s="883"/>
      <c r="K229" s="883"/>
      <c r="L229" s="884"/>
      <c r="O229" s="2"/>
      <c r="P229" s="2"/>
    </row>
    <row r="230" spans="1:16" s="3" customFormat="1" x14ac:dyDescent="0.35">
      <c r="A230" s="18"/>
      <c r="B230" s="882"/>
      <c r="C230" s="883"/>
      <c r="D230" s="883"/>
      <c r="E230" s="883"/>
      <c r="F230" s="883"/>
      <c r="G230" s="883"/>
      <c r="H230" s="883"/>
      <c r="I230" s="883"/>
      <c r="J230" s="883"/>
      <c r="K230" s="883"/>
      <c r="L230" s="884"/>
    </row>
    <row r="231" spans="1:16" s="3" customFormat="1" x14ac:dyDescent="0.35">
      <c r="A231" s="18"/>
      <c r="B231" s="882"/>
      <c r="C231" s="883"/>
      <c r="D231" s="883"/>
      <c r="E231" s="883"/>
      <c r="F231" s="883"/>
      <c r="G231" s="883"/>
      <c r="H231" s="883"/>
      <c r="I231" s="883"/>
      <c r="J231" s="883"/>
      <c r="K231" s="883"/>
      <c r="L231" s="884"/>
    </row>
    <row r="232" spans="1:16" x14ac:dyDescent="0.35">
      <c r="B232" s="159"/>
      <c r="C232" s="160"/>
      <c r="D232" s="2"/>
      <c r="E232" s="2"/>
      <c r="F232" s="25"/>
      <c r="G232" s="26"/>
      <c r="H232" s="26"/>
      <c r="I232" s="26"/>
      <c r="J232" s="26"/>
      <c r="K232" s="26"/>
      <c r="L232" s="27"/>
      <c r="M232" s="2"/>
      <c r="O232" s="11"/>
    </row>
    <row r="233" spans="1:16" x14ac:dyDescent="0.35">
      <c r="B233" s="897" t="str">
        <f>IF(Intro!$G$21="English",O233,P233)</f>
        <v>Vérification</v>
      </c>
      <c r="C233" s="898"/>
      <c r="D233" s="898"/>
      <c r="E233" s="898"/>
      <c r="F233" s="899"/>
      <c r="G233" s="835">
        <f>Variables!$B$6</f>
        <v>2023</v>
      </c>
      <c r="H233" s="835">
        <f>G233+1</f>
        <v>2024</v>
      </c>
      <c r="I233" s="835">
        <f>H233+1</f>
        <v>2025</v>
      </c>
      <c r="J233" s="835" t="str">
        <f>J209</f>
        <v>janv.-mars 2025</v>
      </c>
      <c r="K233" s="835" t="str">
        <f>K209</f>
        <v>janv.-mars 2026</v>
      </c>
      <c r="L233" s="178"/>
      <c r="M233" s="2"/>
      <c r="O233" s="11" t="s">
        <v>77</v>
      </c>
      <c r="P233" s="2" t="s">
        <v>202</v>
      </c>
    </row>
    <row r="234" spans="1:16" x14ac:dyDescent="0.35">
      <c r="B234" s="900"/>
      <c r="C234" s="901"/>
      <c r="D234" s="901"/>
      <c r="E234" s="901"/>
      <c r="F234" s="902"/>
      <c r="G234" s="836"/>
      <c r="H234" s="836"/>
      <c r="I234" s="836"/>
      <c r="J234" s="836"/>
      <c r="K234" s="836"/>
      <c r="L234" s="178"/>
      <c r="M234" s="2"/>
      <c r="O234" s="11"/>
    </row>
    <row r="235" spans="1:16" x14ac:dyDescent="0.35">
      <c r="B235" s="911" t="str">
        <f>IF(Intro!$G$21="English",O235,P235)</f>
        <v>La valeur totale des ventes nettes déclarée dans cette question dépasse-t-elle la valeur totale des ventes nettes de votre entreprise déclarée à la question 10 de cet onglet?</v>
      </c>
      <c r="C235" s="688"/>
      <c r="D235" s="688"/>
      <c r="E235" s="688"/>
      <c r="F235" s="912"/>
      <c r="G235" s="916" t="str">
        <f>IF(SUM(G211,G187)&gt;G372,Variables!$D$58,Variables!$D$57)</f>
        <v>Non</v>
      </c>
      <c r="H235" s="916" t="str">
        <f>IF(SUM(H211,H187)&gt;H372,Variables!$D$58,Variables!$D$57)</f>
        <v>Non</v>
      </c>
      <c r="I235" s="916" t="str">
        <f>IF(SUM(I211,I187)&gt;I372,Variables!$D$58,Variables!$D$57)</f>
        <v>Non</v>
      </c>
      <c r="J235" s="916" t="str">
        <f>IF(SUM(J211,J187)&gt;J372,Variables!$D$58,Variables!$D$57)</f>
        <v>Non</v>
      </c>
      <c r="K235" s="916" t="str">
        <f>IF(SUM(K211,K187)&gt;K372,Variables!$D$58,Variables!$D$57)</f>
        <v>Non</v>
      </c>
      <c r="L235" s="178"/>
      <c r="M235" s="2"/>
      <c r="O235" s="2" t="s">
        <v>801</v>
      </c>
      <c r="P235" s="2" t="s">
        <v>804</v>
      </c>
    </row>
    <row r="236" spans="1:16" x14ac:dyDescent="0.35">
      <c r="B236" s="608"/>
      <c r="C236" s="609"/>
      <c r="D236" s="609"/>
      <c r="E236" s="609"/>
      <c r="F236" s="913"/>
      <c r="G236" s="917"/>
      <c r="H236" s="917"/>
      <c r="I236" s="917"/>
      <c r="J236" s="917"/>
      <c r="K236" s="917"/>
      <c r="L236" s="178"/>
      <c r="M236" s="2"/>
    </row>
    <row r="237" spans="1:16" x14ac:dyDescent="0.35">
      <c r="B237" s="608"/>
      <c r="C237" s="609"/>
      <c r="D237" s="609"/>
      <c r="E237" s="609"/>
      <c r="F237" s="913"/>
      <c r="G237" s="917"/>
      <c r="H237" s="917"/>
      <c r="I237" s="917"/>
      <c r="J237" s="917"/>
      <c r="K237" s="917"/>
      <c r="L237" s="178"/>
      <c r="M237" s="2"/>
    </row>
    <row r="238" spans="1:16" x14ac:dyDescent="0.35">
      <c r="B238" s="608"/>
      <c r="C238" s="609"/>
      <c r="D238" s="609"/>
      <c r="E238" s="609"/>
      <c r="F238" s="913"/>
      <c r="G238" s="917"/>
      <c r="H238" s="917"/>
      <c r="I238" s="917"/>
      <c r="J238" s="917"/>
      <c r="K238" s="917"/>
      <c r="L238" s="178"/>
      <c r="M238" s="2"/>
    </row>
    <row r="239" spans="1:16" x14ac:dyDescent="0.35">
      <c r="B239" s="914"/>
      <c r="C239" s="692"/>
      <c r="D239" s="692"/>
      <c r="E239" s="692"/>
      <c r="F239" s="915"/>
      <c r="G239" s="918"/>
      <c r="H239" s="918"/>
      <c r="I239" s="918"/>
      <c r="J239" s="918"/>
      <c r="K239" s="918"/>
      <c r="L239" s="178"/>
      <c r="M239" s="2"/>
    </row>
    <row r="240" spans="1:16" x14ac:dyDescent="0.35">
      <c r="B240" s="911" t="str">
        <f>IF(Intro!$G$21="English",O240,P240)</f>
        <v>La valeur des ventes nettes (pour les ventes au Canada) déclarée dans cette question diffère-t-elle des valeurs des ventes nettes rendues déclarées (pour les ventes au Canada) à la question 1 de l'onglet Pro 2?</v>
      </c>
      <c r="C240" s="688"/>
      <c r="D240" s="688"/>
      <c r="E240" s="688"/>
      <c r="F240" s="912"/>
      <c r="G240" s="916" t="str">
        <f>IF(G187&lt;&gt;SUM('Pro 2'!G29,'Pro 2'!G32),Variables!$D$58,Variables!$D$57)</f>
        <v>Non</v>
      </c>
      <c r="H240" s="916" t="str">
        <f>IF(H187&lt;&gt;SUM('Pro 2'!H29,'Pro 2'!H32),Variables!$D$58,Variables!$D$57)</f>
        <v>Non</v>
      </c>
      <c r="I240" s="916" t="str">
        <f>IF(I187&lt;&gt;SUM('Pro 2'!I29,'Pro 2'!I32),Variables!$D$58,Variables!$D$57)</f>
        <v>Non</v>
      </c>
      <c r="J240" s="916" t="str">
        <f>IF(J187&lt;&gt;SUM('Pro 2'!J29,'Pro 2'!J32),Variables!$D$58,Variables!$D$57)</f>
        <v>Non</v>
      </c>
      <c r="K240" s="916" t="str">
        <f>IF(K187&lt;&gt;SUM('Pro 2'!K29,'Pro 2'!K32),Variables!$D$58,Variables!$D$57)</f>
        <v>Non</v>
      </c>
      <c r="L240" s="178"/>
      <c r="M240" s="2"/>
      <c r="O240" s="2" t="s">
        <v>727</v>
      </c>
      <c r="P240" s="2" t="s">
        <v>729</v>
      </c>
    </row>
    <row r="241" spans="1:16" x14ac:dyDescent="0.35">
      <c r="B241" s="608"/>
      <c r="C241" s="609"/>
      <c r="D241" s="609"/>
      <c r="E241" s="609"/>
      <c r="F241" s="913"/>
      <c r="G241" s="917"/>
      <c r="H241" s="917"/>
      <c r="I241" s="917"/>
      <c r="J241" s="917"/>
      <c r="K241" s="917"/>
      <c r="L241" s="178"/>
      <c r="M241" s="2"/>
    </row>
    <row r="242" spans="1:16" x14ac:dyDescent="0.35">
      <c r="B242" s="608"/>
      <c r="C242" s="609"/>
      <c r="D242" s="609"/>
      <c r="E242" s="609"/>
      <c r="F242" s="913"/>
      <c r="G242" s="917"/>
      <c r="H242" s="917"/>
      <c r="I242" s="917"/>
      <c r="J242" s="917"/>
      <c r="K242" s="917"/>
      <c r="L242" s="178"/>
      <c r="M242" s="2"/>
    </row>
    <row r="243" spans="1:16" x14ac:dyDescent="0.35">
      <c r="B243" s="608"/>
      <c r="C243" s="609"/>
      <c r="D243" s="609"/>
      <c r="E243" s="609"/>
      <c r="F243" s="913"/>
      <c r="G243" s="917"/>
      <c r="H243" s="917"/>
      <c r="I243" s="917"/>
      <c r="J243" s="917"/>
      <c r="K243" s="917"/>
      <c r="L243" s="178"/>
      <c r="M243" s="2"/>
    </row>
    <row r="244" spans="1:16" x14ac:dyDescent="0.35">
      <c r="B244" s="914"/>
      <c r="C244" s="692"/>
      <c r="D244" s="692"/>
      <c r="E244" s="692"/>
      <c r="F244" s="915"/>
      <c r="G244" s="918"/>
      <c r="H244" s="918"/>
      <c r="I244" s="918"/>
      <c r="J244" s="918"/>
      <c r="K244" s="918"/>
      <c r="L244" s="178"/>
      <c r="M244" s="2"/>
    </row>
    <row r="245" spans="1:16" x14ac:dyDescent="0.35">
      <c r="B245" s="911" t="str">
        <f>IF(Intro!$G$21="English",O245,P245)</f>
        <v>La valeur des ventes nettes (pour les ventes à l'exportation) déclarée dans cette question diffère-t-elle des valeurs des ventes nettes rendues déclarées (pour les ventes à l'exportation) à la question 1 de l'onglet Pro 2?</v>
      </c>
      <c r="C245" s="688"/>
      <c r="D245" s="688"/>
      <c r="E245" s="688"/>
      <c r="F245" s="912"/>
      <c r="G245" s="916" t="str">
        <f>IF(G211&lt;&gt;'Pro 2'!G38,Variables!$D$58,Variables!$D$57)</f>
        <v>Non</v>
      </c>
      <c r="H245" s="916" t="str">
        <f>IF(H211&lt;&gt;'Pro 2'!H38,Variables!$D$58,Variables!$D$57)</f>
        <v>Non</v>
      </c>
      <c r="I245" s="916" t="str">
        <f>IF(I211&lt;&gt;'Pro 2'!I38,Variables!$D$58,Variables!$D$57)</f>
        <v>Non</v>
      </c>
      <c r="J245" s="916" t="str">
        <f>IF(J211&lt;&gt;'Pro 2'!J38,Variables!$D$58,Variables!$D$57)</f>
        <v>Non</v>
      </c>
      <c r="K245" s="916" t="str">
        <f>IF(K211&lt;&gt;'Pro 2'!K38,Variables!$D$58,Variables!$D$57)</f>
        <v>Non</v>
      </c>
      <c r="L245" s="178"/>
      <c r="M245" s="2"/>
      <c r="O245" s="2" t="s">
        <v>728</v>
      </c>
      <c r="P245" s="2" t="s">
        <v>730</v>
      </c>
    </row>
    <row r="246" spans="1:16" x14ac:dyDescent="0.35">
      <c r="B246" s="608"/>
      <c r="C246" s="609"/>
      <c r="D246" s="609"/>
      <c r="E246" s="609"/>
      <c r="F246" s="913"/>
      <c r="G246" s="917"/>
      <c r="H246" s="917"/>
      <c r="I246" s="917"/>
      <c r="J246" s="917"/>
      <c r="K246" s="917"/>
      <c r="L246" s="178"/>
      <c r="M246" s="2"/>
    </row>
    <row r="247" spans="1:16" x14ac:dyDescent="0.35">
      <c r="B247" s="608"/>
      <c r="C247" s="609"/>
      <c r="D247" s="609"/>
      <c r="E247" s="609"/>
      <c r="F247" s="913"/>
      <c r="G247" s="917"/>
      <c r="H247" s="917"/>
      <c r="I247" s="917"/>
      <c r="J247" s="917"/>
      <c r="K247" s="917"/>
      <c r="L247" s="178"/>
      <c r="M247" s="2"/>
    </row>
    <row r="248" spans="1:16" x14ac:dyDescent="0.35">
      <c r="B248" s="608"/>
      <c r="C248" s="609"/>
      <c r="D248" s="609"/>
      <c r="E248" s="609"/>
      <c r="F248" s="913"/>
      <c r="G248" s="917"/>
      <c r="H248" s="917"/>
      <c r="I248" s="917"/>
      <c r="J248" s="917"/>
      <c r="K248" s="917"/>
      <c r="L248" s="178"/>
      <c r="M248" s="2"/>
    </row>
    <row r="249" spans="1:16" x14ac:dyDescent="0.35">
      <c r="B249" s="914"/>
      <c r="C249" s="692"/>
      <c r="D249" s="692"/>
      <c r="E249" s="692"/>
      <c r="F249" s="915"/>
      <c r="G249" s="918"/>
      <c r="H249" s="918"/>
      <c r="I249" s="918"/>
      <c r="J249" s="918"/>
      <c r="K249" s="918"/>
      <c r="L249" s="178"/>
      <c r="M249" s="2"/>
    </row>
    <row r="250" spans="1:16" s="157" customFormat="1" x14ac:dyDescent="0.35">
      <c r="A250" s="210"/>
      <c r="B250" s="919" t="str">
        <f>IF(Intro!$G$21="English",O250,P250)</f>
        <v>Le stock de clôture combiné déclaré dans cette question diffère-t-il du stock de clôture total déclaré à la question 1 de l'onglet Pro 2?</v>
      </c>
      <c r="C250" s="920"/>
      <c r="D250" s="920"/>
      <c r="E250" s="920"/>
      <c r="F250" s="921"/>
      <c r="G250" s="916" t="str">
        <f>IF(SUM(G190,G214)&lt;&gt;'Pro 2'!G41,Variables!$D$58,Variables!$D$57)</f>
        <v>Non</v>
      </c>
      <c r="H250" s="916" t="str">
        <f>IF(SUM(H190,H214)&lt;&gt;'Pro 2'!H41,Variables!$D$58,Variables!$D$57)</f>
        <v>Non</v>
      </c>
      <c r="I250" s="916" t="str">
        <f>IF(SUM(I190,I214)&lt;&gt;'Pro 2'!I41,Variables!$D$58,Variables!$D$57)</f>
        <v>Non</v>
      </c>
      <c r="J250" s="916" t="str">
        <f>IF(SUM(J190,J214)&lt;&gt;'Pro 2'!J41,Variables!$D$58,Variables!$D$57)</f>
        <v>Non</v>
      </c>
      <c r="K250" s="916" t="str">
        <f>IF(SUM(K190,K214)&lt;&gt;'Pro 2'!K41,Variables!$D$58,Variables!$D$57)</f>
        <v>Non</v>
      </c>
      <c r="L250" s="188"/>
      <c r="O250" s="2" t="s">
        <v>706</v>
      </c>
      <c r="P250" s="2" t="s">
        <v>759</v>
      </c>
    </row>
    <row r="251" spans="1:16" s="157" customFormat="1" x14ac:dyDescent="0.35">
      <c r="A251" s="210"/>
      <c r="B251" s="922"/>
      <c r="C251" s="923"/>
      <c r="D251" s="923"/>
      <c r="E251" s="923"/>
      <c r="F251" s="924"/>
      <c r="G251" s="917"/>
      <c r="H251" s="917"/>
      <c r="I251" s="917"/>
      <c r="J251" s="917"/>
      <c r="K251" s="917"/>
      <c r="L251" s="188"/>
      <c r="O251" s="2"/>
      <c r="P251" s="2"/>
    </row>
    <row r="252" spans="1:16" s="157" customFormat="1" x14ac:dyDescent="0.35">
      <c r="A252" s="210"/>
      <c r="B252" s="922"/>
      <c r="C252" s="923"/>
      <c r="D252" s="923"/>
      <c r="E252" s="923"/>
      <c r="F252" s="924"/>
      <c r="G252" s="917"/>
      <c r="H252" s="917"/>
      <c r="I252" s="917"/>
      <c r="J252" s="917"/>
      <c r="K252" s="917"/>
      <c r="L252" s="188"/>
      <c r="O252" s="2"/>
      <c r="P252" s="2"/>
    </row>
    <row r="253" spans="1:16" s="157" customFormat="1" x14ac:dyDescent="0.35">
      <c r="A253" s="210"/>
      <c r="B253" s="922"/>
      <c r="C253" s="923"/>
      <c r="D253" s="923"/>
      <c r="E253" s="923"/>
      <c r="F253" s="924"/>
      <c r="G253" s="917"/>
      <c r="H253" s="917"/>
      <c r="I253" s="917"/>
      <c r="J253" s="917"/>
      <c r="K253" s="917"/>
      <c r="L253" s="188"/>
      <c r="O253" s="2"/>
      <c r="P253" s="2"/>
    </row>
    <row r="254" spans="1:16" x14ac:dyDescent="0.35">
      <c r="B254" s="925"/>
      <c r="C254" s="926"/>
      <c r="D254" s="926"/>
      <c r="E254" s="926"/>
      <c r="F254" s="927"/>
      <c r="G254" s="918"/>
      <c r="H254" s="918"/>
      <c r="I254" s="918"/>
      <c r="J254" s="918"/>
      <c r="K254" s="918"/>
      <c r="L254" s="178"/>
      <c r="M254" s="2"/>
    </row>
    <row r="255" spans="1:16" x14ac:dyDescent="0.35">
      <c r="B255" s="159"/>
      <c r="C255" s="160"/>
      <c r="D255" s="160"/>
      <c r="E255" s="29"/>
      <c r="F255" s="29"/>
      <c r="G255" s="29"/>
      <c r="H255" s="29"/>
      <c r="I255" s="29"/>
      <c r="J255" s="29"/>
      <c r="K255" s="29"/>
      <c r="L255" s="30"/>
      <c r="M255" s="2"/>
      <c r="O255" s="152"/>
      <c r="P255" s="152"/>
    </row>
    <row r="256" spans="1:16" s="3" customFormat="1" x14ac:dyDescent="0.35">
      <c r="A256" s="12"/>
      <c r="B256" s="704"/>
      <c r="C256" s="705"/>
      <c r="D256" s="705"/>
      <c r="E256" s="705"/>
      <c r="F256" s="705"/>
      <c r="G256" s="705"/>
      <c r="H256" s="705"/>
      <c r="I256" s="705"/>
      <c r="J256" s="705"/>
      <c r="K256" s="705"/>
      <c r="L256" s="706"/>
      <c r="M256" s="152"/>
      <c r="O256" s="154"/>
      <c r="P256" s="154"/>
    </row>
    <row r="257" spans="1:16" s="3" customFormat="1" x14ac:dyDescent="0.35">
      <c r="A257" s="12"/>
      <c r="B257" s="704"/>
      <c r="C257" s="705"/>
      <c r="D257" s="705"/>
      <c r="E257" s="705"/>
      <c r="F257" s="705"/>
      <c r="G257" s="705"/>
      <c r="H257" s="705"/>
      <c r="I257" s="705"/>
      <c r="J257" s="705"/>
      <c r="K257" s="705"/>
      <c r="L257" s="706"/>
      <c r="M257" s="152"/>
      <c r="O257" s="154"/>
      <c r="P257" s="154"/>
    </row>
    <row r="258" spans="1:16" s="3" customFormat="1" x14ac:dyDescent="0.35">
      <c r="A258" s="12"/>
      <c r="B258" s="704"/>
      <c r="C258" s="705"/>
      <c r="D258" s="705"/>
      <c r="E258" s="705"/>
      <c r="F258" s="705"/>
      <c r="G258" s="705"/>
      <c r="H258" s="705"/>
      <c r="I258" s="705"/>
      <c r="J258" s="705"/>
      <c r="K258" s="705"/>
      <c r="L258" s="706"/>
      <c r="M258" s="152"/>
      <c r="O258" s="154"/>
      <c r="P258" s="154"/>
    </row>
    <row r="259" spans="1:16" s="3" customFormat="1" x14ac:dyDescent="0.35">
      <c r="A259" s="12"/>
      <c r="B259" s="704"/>
      <c r="C259" s="705"/>
      <c r="D259" s="705"/>
      <c r="E259" s="705"/>
      <c r="F259" s="705"/>
      <c r="G259" s="705"/>
      <c r="H259" s="705"/>
      <c r="I259" s="705"/>
      <c r="J259" s="705"/>
      <c r="K259" s="705"/>
      <c r="L259" s="706"/>
      <c r="M259" s="152"/>
      <c r="O259" s="154"/>
      <c r="P259" s="154"/>
    </row>
    <row r="260" spans="1:16" s="3" customFormat="1" x14ac:dyDescent="0.35">
      <c r="A260" s="12"/>
      <c r="B260" s="704"/>
      <c r="C260" s="705"/>
      <c r="D260" s="705"/>
      <c r="E260" s="705"/>
      <c r="F260" s="705"/>
      <c r="G260" s="705"/>
      <c r="H260" s="705"/>
      <c r="I260" s="705"/>
      <c r="J260" s="705"/>
      <c r="K260" s="705"/>
      <c r="L260" s="706"/>
      <c r="M260" s="152"/>
      <c r="O260" s="154"/>
      <c r="P260" s="154"/>
    </row>
    <row r="261" spans="1:16" s="3" customFormat="1" x14ac:dyDescent="0.35">
      <c r="A261" s="12"/>
      <c r="B261" s="704"/>
      <c r="C261" s="705"/>
      <c r="D261" s="705"/>
      <c r="E261" s="705"/>
      <c r="F261" s="705"/>
      <c r="G261" s="705"/>
      <c r="H261" s="705"/>
      <c r="I261" s="705"/>
      <c r="J261" s="705"/>
      <c r="K261" s="705"/>
      <c r="L261" s="706"/>
      <c r="M261" s="152"/>
      <c r="O261" s="154"/>
      <c r="P261" s="154"/>
    </row>
    <row r="262" spans="1:16" s="3" customFormat="1" x14ac:dyDescent="0.35">
      <c r="A262" s="12"/>
      <c r="B262" s="704"/>
      <c r="C262" s="705"/>
      <c r="D262" s="705"/>
      <c r="E262" s="705"/>
      <c r="F262" s="705"/>
      <c r="G262" s="705"/>
      <c r="H262" s="705"/>
      <c r="I262" s="705"/>
      <c r="J262" s="705"/>
      <c r="K262" s="705"/>
      <c r="L262" s="706"/>
      <c r="M262" s="152"/>
      <c r="O262" s="154"/>
      <c r="P262" s="154"/>
    </row>
    <row r="263" spans="1:16" s="3" customFormat="1" x14ac:dyDescent="0.35">
      <c r="A263" s="12"/>
      <c r="B263" s="704"/>
      <c r="C263" s="705"/>
      <c r="D263" s="705"/>
      <c r="E263" s="705"/>
      <c r="F263" s="705"/>
      <c r="G263" s="705"/>
      <c r="H263" s="705"/>
      <c r="I263" s="705"/>
      <c r="J263" s="705"/>
      <c r="K263" s="705"/>
      <c r="L263" s="706"/>
      <c r="M263" s="152"/>
      <c r="O263" s="154"/>
      <c r="P263" s="154"/>
    </row>
    <row r="264" spans="1:16" x14ac:dyDescent="0.35">
      <c r="B264" s="169"/>
      <c r="C264" s="170"/>
      <c r="D264" s="170"/>
      <c r="E264" s="170"/>
      <c r="F264" s="170"/>
      <c r="G264" s="170"/>
      <c r="H264" s="170"/>
      <c r="I264" s="170"/>
      <c r="J264" s="170"/>
      <c r="K264" s="170"/>
      <c r="L264" s="171"/>
      <c r="M264" s="2"/>
    </row>
    <row r="265" spans="1:16" s="3" customFormat="1" x14ac:dyDescent="0.35">
      <c r="A265" s="12"/>
      <c r="B265" s="710" t="s">
        <v>30</v>
      </c>
      <c r="C265" s="711"/>
      <c r="D265" s="711"/>
      <c r="E265" s="711"/>
      <c r="F265" s="711"/>
      <c r="G265" s="711"/>
      <c r="H265" s="711"/>
      <c r="I265" s="711"/>
      <c r="J265" s="711"/>
      <c r="K265" s="711"/>
      <c r="L265" s="712"/>
      <c r="M265" s="167"/>
    </row>
    <row r="266" spans="1:16" x14ac:dyDescent="0.35">
      <c r="B266" s="169"/>
      <c r="C266" s="170"/>
      <c r="D266" s="170"/>
      <c r="E266" s="170"/>
      <c r="F266" s="170"/>
      <c r="G266" s="170"/>
      <c r="H266" s="170"/>
      <c r="I266" s="170"/>
      <c r="J266" s="170"/>
      <c r="K266" s="170"/>
      <c r="L266" s="171"/>
      <c r="M266" s="2"/>
    </row>
    <row r="267" spans="1:16" x14ac:dyDescent="0.35">
      <c r="B267" s="707" t="str">
        <f>IF(Intro!$G$21="English",O267,P267)</f>
        <v>Décrivez comment votre entreprise a réparti les dépenses suivantes dans votre réponse aux états de résultats fournis à la question 5 de cet onglet :</v>
      </c>
      <c r="C267" s="708"/>
      <c r="D267" s="708"/>
      <c r="E267" s="708"/>
      <c r="F267" s="708"/>
      <c r="G267" s="708"/>
      <c r="H267" s="708"/>
      <c r="I267" s="708"/>
      <c r="J267" s="708"/>
      <c r="K267" s="708"/>
      <c r="L267" s="709"/>
      <c r="M267" s="2"/>
      <c r="O267" s="2" t="s">
        <v>802</v>
      </c>
      <c r="P267" s="2" t="s">
        <v>803</v>
      </c>
    </row>
    <row r="268" spans="1:16" x14ac:dyDescent="0.35">
      <c r="B268" s="169"/>
      <c r="C268" s="170"/>
      <c r="D268" s="170"/>
      <c r="E268" s="170"/>
      <c r="F268" s="170"/>
      <c r="G268" s="170"/>
      <c r="H268" s="170"/>
      <c r="I268" s="170"/>
      <c r="J268" s="170"/>
      <c r="K268" s="170"/>
      <c r="L268" s="171"/>
      <c r="M268" s="2"/>
    </row>
    <row r="269" spans="1:16" x14ac:dyDescent="0.35">
      <c r="B269" s="628" t="str">
        <f>IF(Intro!$G$21="English",O269,P269)</f>
        <v xml:space="preserve">Frais généraux, de vente, et d'administration </v>
      </c>
      <c r="C269" s="629"/>
      <c r="D269" s="905"/>
      <c r="E269" s="905"/>
      <c r="F269" s="905"/>
      <c r="G269" s="905"/>
      <c r="H269" s="905"/>
      <c r="I269" s="905"/>
      <c r="J269" s="905"/>
      <c r="K269" s="905"/>
      <c r="L269" s="820"/>
      <c r="M269" s="2"/>
      <c r="O269" s="11" t="s">
        <v>75</v>
      </c>
      <c r="P269" s="11" t="s">
        <v>76</v>
      </c>
    </row>
    <row r="270" spans="1:16" x14ac:dyDescent="0.35">
      <c r="B270" s="628"/>
      <c r="C270" s="629"/>
      <c r="D270" s="905"/>
      <c r="E270" s="905"/>
      <c r="F270" s="905"/>
      <c r="G270" s="905"/>
      <c r="H270" s="905"/>
      <c r="I270" s="905"/>
      <c r="J270" s="905"/>
      <c r="K270" s="905"/>
      <c r="L270" s="820"/>
      <c r="M270" s="2"/>
      <c r="O270" s="11"/>
      <c r="P270" s="11"/>
    </row>
    <row r="271" spans="1:16" x14ac:dyDescent="0.35">
      <c r="B271" s="628"/>
      <c r="C271" s="629"/>
      <c r="D271" s="905"/>
      <c r="E271" s="905"/>
      <c r="F271" s="905"/>
      <c r="G271" s="905"/>
      <c r="H271" s="905"/>
      <c r="I271" s="905"/>
      <c r="J271" s="905"/>
      <c r="K271" s="905"/>
      <c r="L271" s="820"/>
      <c r="M271" s="2"/>
      <c r="O271" s="11"/>
      <c r="P271" s="11"/>
    </row>
    <row r="272" spans="1:16" x14ac:dyDescent="0.35">
      <c r="B272" s="628"/>
      <c r="C272" s="629"/>
      <c r="D272" s="905"/>
      <c r="E272" s="905"/>
      <c r="F272" s="905"/>
      <c r="G272" s="905"/>
      <c r="H272" s="905"/>
      <c r="I272" s="905"/>
      <c r="J272" s="905"/>
      <c r="K272" s="905"/>
      <c r="L272" s="820"/>
      <c r="M272" s="2"/>
      <c r="O272" s="11"/>
      <c r="P272" s="11"/>
    </row>
    <row r="273" spans="2:16" x14ac:dyDescent="0.35">
      <c r="B273" s="628"/>
      <c r="C273" s="629"/>
      <c r="D273" s="905"/>
      <c r="E273" s="905"/>
      <c r="F273" s="905"/>
      <c r="G273" s="905"/>
      <c r="H273" s="905"/>
      <c r="I273" s="905"/>
      <c r="J273" s="905"/>
      <c r="K273" s="905"/>
      <c r="L273" s="820"/>
      <c r="M273" s="2"/>
      <c r="O273" s="11"/>
      <c r="P273" s="11"/>
    </row>
    <row r="274" spans="2:16" x14ac:dyDescent="0.35">
      <c r="B274" s="628"/>
      <c r="C274" s="629"/>
      <c r="D274" s="905"/>
      <c r="E274" s="905"/>
      <c r="F274" s="905"/>
      <c r="G274" s="905"/>
      <c r="H274" s="905"/>
      <c r="I274" s="905"/>
      <c r="J274" s="905"/>
      <c r="K274" s="905"/>
      <c r="L274" s="820"/>
      <c r="M274" s="2"/>
      <c r="O274" s="11"/>
      <c r="P274" s="11"/>
    </row>
    <row r="275" spans="2:16" x14ac:dyDescent="0.35">
      <c r="B275" s="628"/>
      <c r="C275" s="629"/>
      <c r="D275" s="905"/>
      <c r="E275" s="905"/>
      <c r="F275" s="905"/>
      <c r="G275" s="905"/>
      <c r="H275" s="905"/>
      <c r="I275" s="905"/>
      <c r="J275" s="905"/>
      <c r="K275" s="905"/>
      <c r="L275" s="820"/>
      <c r="M275" s="2"/>
      <c r="O275" s="11"/>
      <c r="P275" s="11"/>
    </row>
    <row r="276" spans="2:16" x14ac:dyDescent="0.35">
      <c r="B276" s="628"/>
      <c r="C276" s="629"/>
      <c r="D276" s="905"/>
      <c r="E276" s="905"/>
      <c r="F276" s="905"/>
      <c r="G276" s="905"/>
      <c r="H276" s="905"/>
      <c r="I276" s="905"/>
      <c r="J276" s="905"/>
      <c r="K276" s="905"/>
      <c r="L276" s="820"/>
      <c r="M276" s="2"/>
      <c r="O276" s="11"/>
      <c r="P276" s="11"/>
    </row>
    <row r="277" spans="2:16" x14ac:dyDescent="0.35">
      <c r="B277" s="628" t="str">
        <f>IF(Intro!$G$21="English",O277,P277)</f>
        <v>Charges financières</v>
      </c>
      <c r="C277" s="629"/>
      <c r="D277" s="905"/>
      <c r="E277" s="905"/>
      <c r="F277" s="905"/>
      <c r="G277" s="905"/>
      <c r="H277" s="905"/>
      <c r="I277" s="905"/>
      <c r="J277" s="905"/>
      <c r="K277" s="905"/>
      <c r="L277" s="820"/>
      <c r="M277" s="2"/>
      <c r="O277" s="11" t="s">
        <v>53</v>
      </c>
      <c r="P277" s="11" t="s">
        <v>54</v>
      </c>
    </row>
    <row r="278" spans="2:16" x14ac:dyDescent="0.35">
      <c r="B278" s="628"/>
      <c r="C278" s="629"/>
      <c r="D278" s="905"/>
      <c r="E278" s="905"/>
      <c r="F278" s="905"/>
      <c r="G278" s="905"/>
      <c r="H278" s="905"/>
      <c r="I278" s="905"/>
      <c r="J278" s="905"/>
      <c r="K278" s="905"/>
      <c r="L278" s="820"/>
      <c r="M278" s="2"/>
    </row>
    <row r="279" spans="2:16" x14ac:dyDescent="0.35">
      <c r="B279" s="628"/>
      <c r="C279" s="629"/>
      <c r="D279" s="905"/>
      <c r="E279" s="905"/>
      <c r="F279" s="905"/>
      <c r="G279" s="905"/>
      <c r="H279" s="905"/>
      <c r="I279" s="905"/>
      <c r="J279" s="905"/>
      <c r="K279" s="905"/>
      <c r="L279" s="820"/>
      <c r="M279" s="2"/>
      <c r="O279" s="11"/>
      <c r="P279" s="11"/>
    </row>
    <row r="280" spans="2:16" x14ac:dyDescent="0.35">
      <c r="B280" s="628"/>
      <c r="C280" s="629"/>
      <c r="D280" s="905"/>
      <c r="E280" s="905"/>
      <c r="F280" s="905"/>
      <c r="G280" s="905"/>
      <c r="H280" s="905"/>
      <c r="I280" s="905"/>
      <c r="J280" s="905"/>
      <c r="K280" s="905"/>
      <c r="L280" s="820"/>
      <c r="M280" s="2"/>
      <c r="O280" s="11"/>
      <c r="P280" s="11"/>
    </row>
    <row r="281" spans="2:16" x14ac:dyDescent="0.35">
      <c r="B281" s="628"/>
      <c r="C281" s="629"/>
      <c r="D281" s="905"/>
      <c r="E281" s="905"/>
      <c r="F281" s="905"/>
      <c r="G281" s="905"/>
      <c r="H281" s="905"/>
      <c r="I281" s="905"/>
      <c r="J281" s="905"/>
      <c r="K281" s="905"/>
      <c r="L281" s="820"/>
      <c r="M281" s="2"/>
      <c r="O281" s="11"/>
      <c r="P281" s="11"/>
    </row>
    <row r="282" spans="2:16" x14ac:dyDescent="0.35">
      <c r="B282" s="628"/>
      <c r="C282" s="629"/>
      <c r="D282" s="905"/>
      <c r="E282" s="905"/>
      <c r="F282" s="905"/>
      <c r="G282" s="905"/>
      <c r="H282" s="905"/>
      <c r="I282" s="905"/>
      <c r="J282" s="905"/>
      <c r="K282" s="905"/>
      <c r="L282" s="820"/>
      <c r="M282" s="2"/>
      <c r="O282" s="11"/>
      <c r="P282" s="11"/>
    </row>
    <row r="283" spans="2:16" x14ac:dyDescent="0.35">
      <c r="B283" s="628"/>
      <c r="C283" s="629"/>
      <c r="D283" s="905"/>
      <c r="E283" s="905"/>
      <c r="F283" s="905"/>
      <c r="G283" s="905"/>
      <c r="H283" s="905"/>
      <c r="I283" s="905"/>
      <c r="J283" s="905"/>
      <c r="K283" s="905"/>
      <c r="L283" s="820"/>
      <c r="M283" s="2"/>
      <c r="O283" s="11"/>
      <c r="P283" s="11"/>
    </row>
    <row r="284" spans="2:16" x14ac:dyDescent="0.35">
      <c r="B284" s="628"/>
      <c r="C284" s="629"/>
      <c r="D284" s="905"/>
      <c r="E284" s="905"/>
      <c r="F284" s="905"/>
      <c r="G284" s="905"/>
      <c r="H284" s="905"/>
      <c r="I284" s="905"/>
      <c r="J284" s="905"/>
      <c r="K284" s="905"/>
      <c r="L284" s="820"/>
      <c r="M284" s="2"/>
      <c r="O284" s="11"/>
      <c r="P284" s="11"/>
    </row>
    <row r="285" spans="2:16" x14ac:dyDescent="0.35">
      <c r="B285" s="628" t="str">
        <f>IF(Intro!$G$21="English",O285,P285)</f>
        <v>Autres dépenses</v>
      </c>
      <c r="C285" s="629"/>
      <c r="D285" s="905"/>
      <c r="E285" s="905"/>
      <c r="F285" s="905"/>
      <c r="G285" s="905"/>
      <c r="H285" s="905"/>
      <c r="I285" s="905"/>
      <c r="J285" s="905"/>
      <c r="K285" s="905"/>
      <c r="L285" s="820"/>
      <c r="M285" s="2"/>
      <c r="O285" s="11" t="s">
        <v>114</v>
      </c>
      <c r="P285" s="11" t="s">
        <v>115</v>
      </c>
    </row>
    <row r="286" spans="2:16" x14ac:dyDescent="0.35">
      <c r="B286" s="628"/>
      <c r="C286" s="629"/>
      <c r="D286" s="905"/>
      <c r="E286" s="905"/>
      <c r="F286" s="905"/>
      <c r="G286" s="905"/>
      <c r="H286" s="905"/>
      <c r="I286" s="905"/>
      <c r="J286" s="905"/>
      <c r="K286" s="905"/>
      <c r="L286" s="820"/>
      <c r="M286" s="2"/>
      <c r="O286" s="11"/>
      <c r="P286" s="11"/>
    </row>
    <row r="287" spans="2:16" x14ac:dyDescent="0.35">
      <c r="B287" s="628"/>
      <c r="C287" s="629"/>
      <c r="D287" s="905"/>
      <c r="E287" s="905"/>
      <c r="F287" s="905"/>
      <c r="G287" s="905"/>
      <c r="H287" s="905"/>
      <c r="I287" s="905"/>
      <c r="J287" s="905"/>
      <c r="K287" s="905"/>
      <c r="L287" s="820"/>
      <c r="M287" s="2"/>
      <c r="O287" s="11"/>
      <c r="P287" s="11"/>
    </row>
    <row r="288" spans="2:16" x14ac:dyDescent="0.35">
      <c r="B288" s="628"/>
      <c r="C288" s="629"/>
      <c r="D288" s="905"/>
      <c r="E288" s="905"/>
      <c r="F288" s="905"/>
      <c r="G288" s="905"/>
      <c r="H288" s="905"/>
      <c r="I288" s="905"/>
      <c r="J288" s="905"/>
      <c r="K288" s="905"/>
      <c r="L288" s="820"/>
      <c r="M288" s="2"/>
      <c r="O288" s="11"/>
      <c r="P288" s="11"/>
    </row>
    <row r="289" spans="1:16" x14ac:dyDescent="0.35">
      <c r="B289" s="628"/>
      <c r="C289" s="629"/>
      <c r="D289" s="905"/>
      <c r="E289" s="905"/>
      <c r="F289" s="905"/>
      <c r="G289" s="905"/>
      <c r="H289" s="905"/>
      <c r="I289" s="905"/>
      <c r="J289" s="905"/>
      <c r="K289" s="905"/>
      <c r="L289" s="820"/>
      <c r="M289" s="2"/>
      <c r="O289" s="11"/>
      <c r="P289" s="11"/>
    </row>
    <row r="290" spans="1:16" x14ac:dyDescent="0.35">
      <c r="B290" s="628"/>
      <c r="C290" s="629"/>
      <c r="D290" s="905"/>
      <c r="E290" s="905"/>
      <c r="F290" s="905"/>
      <c r="G290" s="905"/>
      <c r="H290" s="905"/>
      <c r="I290" s="905"/>
      <c r="J290" s="905"/>
      <c r="K290" s="905"/>
      <c r="L290" s="820"/>
      <c r="M290" s="2"/>
      <c r="O290" s="11"/>
      <c r="P290" s="11"/>
    </row>
    <row r="291" spans="1:16" x14ac:dyDescent="0.35">
      <c r="B291" s="628"/>
      <c r="C291" s="629"/>
      <c r="D291" s="905"/>
      <c r="E291" s="905"/>
      <c r="F291" s="905"/>
      <c r="G291" s="905"/>
      <c r="H291" s="905"/>
      <c r="I291" s="905"/>
      <c r="J291" s="905"/>
      <c r="K291" s="905"/>
      <c r="L291" s="820"/>
      <c r="M291" s="2"/>
      <c r="O291" s="11"/>
      <c r="P291" s="11"/>
    </row>
    <row r="292" spans="1:16" x14ac:dyDescent="0.35">
      <c r="B292" s="628"/>
      <c r="C292" s="629"/>
      <c r="D292" s="905"/>
      <c r="E292" s="905"/>
      <c r="F292" s="905"/>
      <c r="G292" s="905"/>
      <c r="H292" s="905"/>
      <c r="I292" s="905"/>
      <c r="J292" s="905"/>
      <c r="K292" s="905"/>
      <c r="L292" s="820"/>
      <c r="M292" s="2"/>
      <c r="O292" s="11"/>
      <c r="P292" s="11"/>
    </row>
    <row r="293" spans="1:16" x14ac:dyDescent="0.35">
      <c r="B293" s="175"/>
      <c r="C293" s="176"/>
      <c r="D293" s="176"/>
      <c r="E293" s="176"/>
      <c r="F293" s="176"/>
      <c r="G293" s="176"/>
      <c r="H293" s="176"/>
      <c r="I293" s="176"/>
      <c r="J293" s="176"/>
      <c r="K293" s="176"/>
      <c r="L293" s="177"/>
      <c r="M293" s="2"/>
    </row>
    <row r="294" spans="1:16" s="3" customFormat="1" x14ac:dyDescent="0.35">
      <c r="A294" s="12"/>
      <c r="B294" s="710" t="s">
        <v>31</v>
      </c>
      <c r="C294" s="711"/>
      <c r="D294" s="711"/>
      <c r="E294" s="711"/>
      <c r="F294" s="711"/>
      <c r="G294" s="711"/>
      <c r="H294" s="711"/>
      <c r="I294" s="711"/>
      <c r="J294" s="711"/>
      <c r="K294" s="711"/>
      <c r="L294" s="712"/>
      <c r="M294" s="167"/>
    </row>
    <row r="295" spans="1:16" x14ac:dyDescent="0.35">
      <c r="B295" s="169"/>
      <c r="C295" s="170"/>
      <c r="D295" s="170"/>
      <c r="E295" s="170"/>
      <c r="F295" s="170"/>
      <c r="G295" s="170"/>
      <c r="H295" s="170"/>
      <c r="I295" s="170"/>
      <c r="J295" s="170"/>
      <c r="K295" s="170"/>
      <c r="L295" s="171"/>
      <c r="M295" s="2"/>
    </row>
    <row r="296" spans="1:16" x14ac:dyDescent="0.35">
      <c r="B296" s="608" t="str">
        <f>IF(Intro!$G$21="English",O296,P296)</f>
        <v>Décrivez les plans de votre entreprise pour gérer le rendement financier des deux prochaines années. Fournissez les motifs et les hypothèses sous-tendant ces objectifs et ces stratégies.</v>
      </c>
      <c r="C296" s="609"/>
      <c r="D296" s="609"/>
      <c r="E296" s="609"/>
      <c r="F296" s="609"/>
      <c r="G296" s="609"/>
      <c r="H296" s="609"/>
      <c r="I296" s="609"/>
      <c r="J296" s="609"/>
      <c r="K296" s="609"/>
      <c r="L296" s="610"/>
      <c r="M296" s="2"/>
      <c r="O296" s="2" t="s">
        <v>384</v>
      </c>
      <c r="P296" s="2" t="s">
        <v>256</v>
      </c>
    </row>
    <row r="297" spans="1:16" x14ac:dyDescent="0.35">
      <c r="B297" s="169"/>
      <c r="C297" s="170"/>
      <c r="D297" s="170"/>
      <c r="E297" s="170"/>
      <c r="F297" s="170"/>
      <c r="G297" s="170"/>
      <c r="H297" s="170"/>
      <c r="I297" s="170"/>
      <c r="J297" s="170"/>
      <c r="K297" s="170"/>
      <c r="L297" s="171"/>
      <c r="M297" s="2"/>
    </row>
    <row r="298" spans="1:16" s="3" customFormat="1" x14ac:dyDescent="0.35">
      <c r="A298" s="12"/>
      <c r="B298" s="704"/>
      <c r="C298" s="705"/>
      <c r="D298" s="705"/>
      <c r="E298" s="705"/>
      <c r="F298" s="705"/>
      <c r="G298" s="705"/>
      <c r="H298" s="705"/>
      <c r="I298" s="705"/>
      <c r="J298" s="705"/>
      <c r="K298" s="705"/>
      <c r="L298" s="706"/>
      <c r="M298" s="152"/>
      <c r="O298" s="154"/>
      <c r="P298" s="154"/>
    </row>
    <row r="299" spans="1:16" s="3" customFormat="1" x14ac:dyDescent="0.35">
      <c r="A299" s="12"/>
      <c r="B299" s="704"/>
      <c r="C299" s="705"/>
      <c r="D299" s="705"/>
      <c r="E299" s="705"/>
      <c r="F299" s="705"/>
      <c r="G299" s="705"/>
      <c r="H299" s="705"/>
      <c r="I299" s="705"/>
      <c r="J299" s="705"/>
      <c r="K299" s="705"/>
      <c r="L299" s="706"/>
      <c r="M299" s="152"/>
      <c r="O299" s="154"/>
      <c r="P299" s="154"/>
    </row>
    <row r="300" spans="1:16" s="3" customFormat="1" x14ac:dyDescent="0.35">
      <c r="A300" s="12"/>
      <c r="B300" s="704"/>
      <c r="C300" s="705"/>
      <c r="D300" s="705"/>
      <c r="E300" s="705"/>
      <c r="F300" s="705"/>
      <c r="G300" s="705"/>
      <c r="H300" s="705"/>
      <c r="I300" s="705"/>
      <c r="J300" s="705"/>
      <c r="K300" s="705"/>
      <c r="L300" s="706"/>
      <c r="M300" s="152"/>
      <c r="O300" s="154"/>
      <c r="P300" s="154"/>
    </row>
    <row r="301" spans="1:16" s="3" customFormat="1" x14ac:dyDescent="0.35">
      <c r="A301" s="12"/>
      <c r="B301" s="704"/>
      <c r="C301" s="705"/>
      <c r="D301" s="705"/>
      <c r="E301" s="705"/>
      <c r="F301" s="705"/>
      <c r="G301" s="705"/>
      <c r="H301" s="705"/>
      <c r="I301" s="705"/>
      <c r="J301" s="705"/>
      <c r="K301" s="705"/>
      <c r="L301" s="706"/>
      <c r="M301" s="152"/>
      <c r="O301" s="154"/>
      <c r="P301" s="154"/>
    </row>
    <row r="302" spans="1:16" s="3" customFormat="1" x14ac:dyDescent="0.35">
      <c r="A302" s="12"/>
      <c r="B302" s="704"/>
      <c r="C302" s="705"/>
      <c r="D302" s="705"/>
      <c r="E302" s="705"/>
      <c r="F302" s="705"/>
      <c r="G302" s="705"/>
      <c r="H302" s="705"/>
      <c r="I302" s="705"/>
      <c r="J302" s="705"/>
      <c r="K302" s="705"/>
      <c r="L302" s="706"/>
      <c r="M302" s="152"/>
      <c r="O302" s="154"/>
      <c r="P302" s="154"/>
    </row>
    <row r="303" spans="1:16" s="3" customFormat="1" x14ac:dyDescent="0.35">
      <c r="A303" s="12"/>
      <c r="B303" s="704"/>
      <c r="C303" s="705"/>
      <c r="D303" s="705"/>
      <c r="E303" s="705"/>
      <c r="F303" s="705"/>
      <c r="G303" s="705"/>
      <c r="H303" s="705"/>
      <c r="I303" s="705"/>
      <c r="J303" s="705"/>
      <c r="K303" s="705"/>
      <c r="L303" s="706"/>
      <c r="M303" s="152"/>
      <c r="O303" s="154"/>
      <c r="P303" s="154"/>
    </row>
    <row r="304" spans="1:16" s="3" customFormat="1" x14ac:dyDescent="0.35">
      <c r="A304" s="12"/>
      <c r="B304" s="704"/>
      <c r="C304" s="705"/>
      <c r="D304" s="705"/>
      <c r="E304" s="705"/>
      <c r="F304" s="705"/>
      <c r="G304" s="705"/>
      <c r="H304" s="705"/>
      <c r="I304" s="705"/>
      <c r="J304" s="705"/>
      <c r="K304" s="705"/>
      <c r="L304" s="706"/>
      <c r="M304" s="152"/>
      <c r="O304" s="154"/>
      <c r="P304" s="154"/>
    </row>
    <row r="305" spans="1:16" s="3" customFormat="1" x14ac:dyDescent="0.35">
      <c r="A305" s="12"/>
      <c r="B305" s="704"/>
      <c r="C305" s="705"/>
      <c r="D305" s="705"/>
      <c r="E305" s="705"/>
      <c r="F305" s="705"/>
      <c r="G305" s="705"/>
      <c r="H305" s="705"/>
      <c r="I305" s="705"/>
      <c r="J305" s="705"/>
      <c r="K305" s="705"/>
      <c r="L305" s="706"/>
      <c r="M305" s="152"/>
      <c r="O305" s="154"/>
      <c r="P305" s="154"/>
    </row>
    <row r="306" spans="1:16" x14ac:dyDescent="0.35">
      <c r="B306" s="175"/>
      <c r="C306" s="176"/>
      <c r="D306" s="176"/>
      <c r="E306" s="176"/>
      <c r="F306" s="176"/>
      <c r="G306" s="176"/>
      <c r="H306" s="176"/>
      <c r="I306" s="176"/>
      <c r="J306" s="176"/>
      <c r="K306" s="176"/>
      <c r="L306" s="177"/>
      <c r="M306" s="2"/>
    </row>
    <row r="307" spans="1:16" x14ac:dyDescent="0.35">
      <c r="B307" s="163"/>
      <c r="C307" s="144"/>
      <c r="D307" s="34"/>
      <c r="E307" s="35"/>
      <c r="F307" s="35"/>
      <c r="G307" s="35"/>
      <c r="H307" s="35"/>
      <c r="I307" s="35"/>
      <c r="J307" s="35"/>
      <c r="K307" s="35"/>
      <c r="L307" s="40"/>
      <c r="M307" s="2"/>
      <c r="O307" s="11"/>
    </row>
    <row r="308" spans="1:16" x14ac:dyDescent="0.35">
      <c r="B308" s="599" t="str">
        <f>IF(Intro!$G$21="English",O308,P308)</f>
        <v>INVESTISSEMENTS</v>
      </c>
      <c r="C308" s="600"/>
      <c r="D308" s="600"/>
      <c r="E308" s="600"/>
      <c r="F308" s="600"/>
      <c r="G308" s="600"/>
      <c r="H308" s="600"/>
      <c r="I308" s="600"/>
      <c r="J308" s="600"/>
      <c r="K308" s="600"/>
      <c r="L308" s="601"/>
      <c r="M308" s="2"/>
      <c r="O308" s="2" t="s">
        <v>78</v>
      </c>
      <c r="P308" s="2" t="s">
        <v>79</v>
      </c>
    </row>
    <row r="309" spans="1:16" s="3" customFormat="1" x14ac:dyDescent="0.35">
      <c r="A309" s="12"/>
      <c r="B309" s="710" t="s">
        <v>33</v>
      </c>
      <c r="C309" s="711"/>
      <c r="D309" s="711"/>
      <c r="E309" s="711"/>
      <c r="F309" s="711"/>
      <c r="G309" s="711"/>
      <c r="H309" s="711"/>
      <c r="I309" s="711"/>
      <c r="J309" s="711"/>
      <c r="K309" s="711"/>
      <c r="L309" s="712"/>
      <c r="M309" s="167"/>
    </row>
    <row r="310" spans="1:16" x14ac:dyDescent="0.35">
      <c r="B310" s="169"/>
      <c r="C310" s="170"/>
      <c r="D310" s="170"/>
      <c r="E310" s="170"/>
      <c r="F310" s="170"/>
      <c r="G310" s="170"/>
      <c r="H310" s="170"/>
      <c r="I310" s="170"/>
      <c r="J310" s="170"/>
      <c r="K310" s="170"/>
      <c r="L310" s="171"/>
      <c r="M310" s="2"/>
    </row>
    <row r="311" spans="1:16" x14ac:dyDescent="0.35">
      <c r="B311" s="707" t="str">
        <f>IF(Intro!$G$21="English",O311,P311)</f>
        <v>Indiquez les investissements antérieurs et prévus de votre entreprise consacrés à ses installations des marchandises pour chaque période indiquée.</v>
      </c>
      <c r="C311" s="708"/>
      <c r="D311" s="708"/>
      <c r="E311" s="708"/>
      <c r="F311" s="708"/>
      <c r="G311" s="708"/>
      <c r="H311" s="708"/>
      <c r="I311" s="708"/>
      <c r="J311" s="708"/>
      <c r="K311" s="708"/>
      <c r="L311" s="709"/>
      <c r="M311" s="2"/>
      <c r="O311" s="2" t="s">
        <v>158</v>
      </c>
      <c r="P311" s="2" t="s">
        <v>159</v>
      </c>
    </row>
    <row r="312" spans="1:16" x14ac:dyDescent="0.35">
      <c r="B312" s="169"/>
      <c r="C312" s="170"/>
      <c r="D312" s="170"/>
      <c r="E312" s="170"/>
      <c r="F312" s="170"/>
      <c r="G312" s="170"/>
      <c r="H312" s="170"/>
      <c r="I312" s="170"/>
      <c r="J312" s="170"/>
      <c r="K312" s="170"/>
      <c r="L312" s="171"/>
      <c r="M312" s="2"/>
    </row>
    <row r="313" spans="1:16" x14ac:dyDescent="0.35">
      <c r="B313" s="159"/>
      <c r="C313" s="160"/>
      <c r="D313" s="25"/>
      <c r="E313" s="208">
        <f>Variables!$B$6</f>
        <v>2023</v>
      </c>
      <c r="F313" s="208">
        <f>E313+1</f>
        <v>2024</v>
      </c>
      <c r="G313" s="208">
        <f t="shared" ref="G313:J313" si="25">F313+1</f>
        <v>2025</v>
      </c>
      <c r="H313" s="208">
        <f t="shared" si="25"/>
        <v>2026</v>
      </c>
      <c r="I313" s="208">
        <f t="shared" si="25"/>
        <v>2027</v>
      </c>
      <c r="J313" s="208">
        <f t="shared" si="25"/>
        <v>2028</v>
      </c>
      <c r="K313" s="173"/>
      <c r="L313" s="174"/>
      <c r="M313" s="2"/>
      <c r="O313" s="11"/>
    </row>
    <row r="314" spans="1:16" x14ac:dyDescent="0.35">
      <c r="B314" s="890" t="str">
        <f>IF(Intro!$G$21="English",O314,P314)</f>
        <v>Investissements</v>
      </c>
      <c r="C314" s="891"/>
      <c r="D314" s="213" t="s">
        <v>559</v>
      </c>
      <c r="E314" s="249"/>
      <c r="F314" s="249"/>
      <c r="G314" s="249"/>
      <c r="H314" s="249"/>
      <c r="I314" s="249"/>
      <c r="J314" s="249"/>
      <c r="K314" s="173"/>
      <c r="L314" s="174"/>
      <c r="M314" s="2"/>
      <c r="O314" s="2" t="s">
        <v>253</v>
      </c>
      <c r="P314" s="2" t="s">
        <v>254</v>
      </c>
    </row>
    <row r="315" spans="1:16" x14ac:dyDescent="0.35">
      <c r="B315" s="175"/>
      <c r="C315" s="176"/>
      <c r="D315" s="176"/>
      <c r="E315" s="176"/>
      <c r="F315" s="176"/>
      <c r="G315" s="176"/>
      <c r="H315" s="176"/>
      <c r="I315" s="176"/>
      <c r="J315" s="176"/>
      <c r="K315" s="176"/>
      <c r="L315" s="177"/>
      <c r="M315" s="2"/>
    </row>
    <row r="316" spans="1:16" s="3" customFormat="1" x14ac:dyDescent="0.35">
      <c r="A316" s="12"/>
      <c r="B316" s="710" t="s">
        <v>36</v>
      </c>
      <c r="C316" s="711"/>
      <c r="D316" s="711"/>
      <c r="E316" s="711"/>
      <c r="F316" s="711"/>
      <c r="G316" s="711"/>
      <c r="H316" s="711"/>
      <c r="I316" s="711"/>
      <c r="J316" s="711"/>
      <c r="K316" s="711"/>
      <c r="L316" s="712"/>
      <c r="M316" s="167"/>
    </row>
    <row r="317" spans="1:16" x14ac:dyDescent="0.35">
      <c r="B317" s="169"/>
      <c r="C317" s="170"/>
      <c r="D317" s="170"/>
      <c r="E317" s="170"/>
      <c r="F317" s="170"/>
      <c r="G317" s="170"/>
      <c r="H317" s="170"/>
      <c r="I317" s="170"/>
      <c r="J317" s="170"/>
      <c r="K317" s="170"/>
      <c r="L317" s="171"/>
      <c r="M317" s="2"/>
    </row>
    <row r="318" spans="1:16" x14ac:dyDescent="0.35">
      <c r="B318" s="608" t="str">
        <f>IF(Intro!$G$21="English",O318,P318)</f>
        <v>Décrivez les principaux investissements antérieurs et prévus de votre entreprise, les installations qui en sont l’objet ou en ont été l’objet et les motifs de ces investissements.</v>
      </c>
      <c r="C318" s="609"/>
      <c r="D318" s="609"/>
      <c r="E318" s="609"/>
      <c r="F318" s="609"/>
      <c r="G318" s="609"/>
      <c r="H318" s="609"/>
      <c r="I318" s="609"/>
      <c r="J318" s="609"/>
      <c r="K318" s="609"/>
      <c r="L318" s="610"/>
      <c r="M318" s="2"/>
      <c r="O318" s="2" t="s">
        <v>160</v>
      </c>
      <c r="P318" s="2" t="s">
        <v>161</v>
      </c>
    </row>
    <row r="319" spans="1:16" x14ac:dyDescent="0.35">
      <c r="B319" s="169"/>
      <c r="C319" s="170"/>
      <c r="D319" s="170"/>
      <c r="E319" s="170"/>
      <c r="F319" s="170"/>
      <c r="G319" s="170"/>
      <c r="H319" s="170"/>
      <c r="I319" s="170"/>
      <c r="J319" s="170"/>
      <c r="K319" s="170"/>
      <c r="L319" s="171"/>
      <c r="M319" s="2"/>
    </row>
    <row r="320" spans="1:16" s="3" customFormat="1" x14ac:dyDescent="0.35">
      <c r="A320" s="12"/>
      <c r="B320" s="704"/>
      <c r="C320" s="705"/>
      <c r="D320" s="705"/>
      <c r="E320" s="705"/>
      <c r="F320" s="705"/>
      <c r="G320" s="705"/>
      <c r="H320" s="705"/>
      <c r="I320" s="705"/>
      <c r="J320" s="705"/>
      <c r="K320" s="705"/>
      <c r="L320" s="706"/>
      <c r="M320" s="152"/>
      <c r="O320" s="154"/>
      <c r="P320" s="154"/>
    </row>
    <row r="321" spans="1:16" s="3" customFormat="1" x14ac:dyDescent="0.35">
      <c r="A321" s="12"/>
      <c r="B321" s="704"/>
      <c r="C321" s="705"/>
      <c r="D321" s="705"/>
      <c r="E321" s="705"/>
      <c r="F321" s="705"/>
      <c r="G321" s="705"/>
      <c r="H321" s="705"/>
      <c r="I321" s="705"/>
      <c r="J321" s="705"/>
      <c r="K321" s="705"/>
      <c r="L321" s="706"/>
      <c r="M321" s="152"/>
      <c r="O321" s="154"/>
      <c r="P321" s="154"/>
    </row>
    <row r="322" spans="1:16" s="3" customFormat="1" x14ac:dyDescent="0.35">
      <c r="A322" s="12"/>
      <c r="B322" s="704"/>
      <c r="C322" s="705"/>
      <c r="D322" s="705"/>
      <c r="E322" s="705"/>
      <c r="F322" s="705"/>
      <c r="G322" s="705"/>
      <c r="H322" s="705"/>
      <c r="I322" s="705"/>
      <c r="J322" s="705"/>
      <c r="K322" s="705"/>
      <c r="L322" s="706"/>
      <c r="M322" s="152"/>
      <c r="O322" s="154"/>
      <c r="P322" s="154"/>
    </row>
    <row r="323" spans="1:16" s="3" customFormat="1" x14ac:dyDescent="0.35">
      <c r="A323" s="12"/>
      <c r="B323" s="704"/>
      <c r="C323" s="705"/>
      <c r="D323" s="705"/>
      <c r="E323" s="705"/>
      <c r="F323" s="705"/>
      <c r="G323" s="705"/>
      <c r="H323" s="705"/>
      <c r="I323" s="705"/>
      <c r="J323" s="705"/>
      <c r="K323" s="705"/>
      <c r="L323" s="706"/>
      <c r="M323" s="152"/>
      <c r="O323" s="154"/>
      <c r="P323" s="154"/>
    </row>
    <row r="324" spans="1:16" s="3" customFormat="1" x14ac:dyDescent="0.35">
      <c r="A324" s="12"/>
      <c r="B324" s="704"/>
      <c r="C324" s="705"/>
      <c r="D324" s="705"/>
      <c r="E324" s="705"/>
      <c r="F324" s="705"/>
      <c r="G324" s="705"/>
      <c r="H324" s="705"/>
      <c r="I324" s="705"/>
      <c r="J324" s="705"/>
      <c r="K324" s="705"/>
      <c r="L324" s="706"/>
      <c r="M324" s="152"/>
      <c r="O324" s="154"/>
      <c r="P324" s="154"/>
    </row>
    <row r="325" spans="1:16" s="3" customFormat="1" x14ac:dyDescent="0.35">
      <c r="A325" s="12"/>
      <c r="B325" s="704"/>
      <c r="C325" s="705"/>
      <c r="D325" s="705"/>
      <c r="E325" s="705"/>
      <c r="F325" s="705"/>
      <c r="G325" s="705"/>
      <c r="H325" s="705"/>
      <c r="I325" s="705"/>
      <c r="J325" s="705"/>
      <c r="K325" s="705"/>
      <c r="L325" s="706"/>
      <c r="M325" s="152"/>
      <c r="O325" s="154"/>
      <c r="P325" s="154"/>
    </row>
    <row r="326" spans="1:16" s="3" customFormat="1" x14ac:dyDescent="0.35">
      <c r="A326" s="12"/>
      <c r="B326" s="704"/>
      <c r="C326" s="705"/>
      <c r="D326" s="705"/>
      <c r="E326" s="705"/>
      <c r="F326" s="705"/>
      <c r="G326" s="705"/>
      <c r="H326" s="705"/>
      <c r="I326" s="705"/>
      <c r="J326" s="705"/>
      <c r="K326" s="705"/>
      <c r="L326" s="706"/>
      <c r="M326" s="152"/>
      <c r="O326" s="154"/>
      <c r="P326" s="154"/>
    </row>
    <row r="327" spans="1:16" s="3" customFormat="1" x14ac:dyDescent="0.35">
      <c r="A327" s="12"/>
      <c r="B327" s="704"/>
      <c r="C327" s="705"/>
      <c r="D327" s="705"/>
      <c r="E327" s="705"/>
      <c r="F327" s="705"/>
      <c r="G327" s="705"/>
      <c r="H327" s="705"/>
      <c r="I327" s="705"/>
      <c r="J327" s="705"/>
      <c r="K327" s="705"/>
      <c r="L327" s="706"/>
      <c r="M327" s="152"/>
      <c r="O327" s="154"/>
      <c r="P327" s="154"/>
    </row>
    <row r="328" spans="1:16" x14ac:dyDescent="0.35">
      <c r="B328" s="175"/>
      <c r="C328" s="176"/>
      <c r="D328" s="176"/>
      <c r="E328" s="176"/>
      <c r="F328" s="176"/>
      <c r="G328" s="176"/>
      <c r="H328" s="176"/>
      <c r="I328" s="176"/>
      <c r="J328" s="176"/>
      <c r="K328" s="176"/>
      <c r="L328" s="177"/>
      <c r="M328" s="2"/>
    </row>
    <row r="329" spans="1:16" s="3" customFormat="1" x14ac:dyDescent="0.35">
      <c r="A329" s="12"/>
      <c r="B329" s="710" t="s">
        <v>34</v>
      </c>
      <c r="C329" s="711"/>
      <c r="D329" s="711"/>
      <c r="E329" s="711"/>
      <c r="F329" s="711"/>
      <c r="G329" s="711"/>
      <c r="H329" s="711"/>
      <c r="I329" s="711"/>
      <c r="J329" s="711"/>
      <c r="K329" s="711"/>
      <c r="L329" s="712"/>
      <c r="M329" s="167"/>
    </row>
    <row r="330" spans="1:16" x14ac:dyDescent="0.35">
      <c r="B330" s="169"/>
      <c r="C330" s="170"/>
      <c r="D330" s="170"/>
      <c r="E330" s="170"/>
      <c r="F330" s="170"/>
      <c r="G330" s="170"/>
      <c r="H330" s="170"/>
      <c r="I330" s="170"/>
      <c r="J330" s="170"/>
      <c r="K330" s="170"/>
      <c r="L330" s="171"/>
      <c r="M330" s="2"/>
    </row>
    <row r="331" spans="1:16" x14ac:dyDescent="0.35">
      <c r="B331" s="707" t="str">
        <f>IF(Intro!$G$21="English",O331,P331)</f>
        <v>Décrivez l’incidence des investissements faits par votre entreprise depuis le 1er janvier 2023 sur les aspects suivants :</v>
      </c>
      <c r="C331" s="708"/>
      <c r="D331" s="708"/>
      <c r="E331" s="708"/>
      <c r="F331" s="708"/>
      <c r="G331" s="708"/>
      <c r="H331" s="708"/>
      <c r="I331" s="708"/>
      <c r="J331" s="708"/>
      <c r="K331" s="708"/>
      <c r="L331" s="709"/>
      <c r="M331" s="2"/>
      <c r="O331" s="2" t="str">
        <f>"Describe the impact of investments made by your firm since January 1, "&amp;Variables!B6&amp;" on the following:"</f>
        <v>Describe the impact of investments made by your firm since January 1, 2023 on the following:</v>
      </c>
      <c r="P331" s="2" t="str">
        <f>"Décrivez l’incidence des investissements faits par votre entreprise depuis le 1er janvier "&amp;Variables!B6&amp;" sur les aspects suivants :"</f>
        <v>Décrivez l’incidence des investissements faits par votre entreprise depuis le 1er janvier 2023 sur les aspects suivants :</v>
      </c>
    </row>
    <row r="332" spans="1:16" x14ac:dyDescent="0.35">
      <c r="B332" s="169"/>
      <c r="C332" s="170"/>
      <c r="D332" s="170"/>
      <c r="E332" s="170"/>
      <c r="F332" s="170"/>
      <c r="G332" s="170"/>
      <c r="H332" s="170"/>
      <c r="I332" s="170"/>
      <c r="J332" s="170"/>
      <c r="K332" s="170"/>
      <c r="L332" s="171"/>
      <c r="M332" s="2"/>
    </row>
    <row r="333" spans="1:16" x14ac:dyDescent="0.35">
      <c r="B333" s="628" t="str">
        <f>IF(Intro!$G$21="English",O333,P333)</f>
        <v>Productivité</v>
      </c>
      <c r="C333" s="629"/>
      <c r="D333" s="905"/>
      <c r="E333" s="905"/>
      <c r="F333" s="905"/>
      <c r="G333" s="905"/>
      <c r="H333" s="905"/>
      <c r="I333" s="905"/>
      <c r="J333" s="905"/>
      <c r="K333" s="905"/>
      <c r="L333" s="820"/>
      <c r="M333" s="2"/>
      <c r="O333" s="11" t="s">
        <v>80</v>
      </c>
      <c r="P333" s="11" t="s">
        <v>81</v>
      </c>
    </row>
    <row r="334" spans="1:16" s="3" customFormat="1" x14ac:dyDescent="0.35">
      <c r="A334" s="12"/>
      <c r="B334" s="628"/>
      <c r="C334" s="629"/>
      <c r="D334" s="905"/>
      <c r="E334" s="905"/>
      <c r="F334" s="905"/>
      <c r="G334" s="905"/>
      <c r="H334" s="905"/>
      <c r="I334" s="905"/>
      <c r="J334" s="905"/>
      <c r="K334" s="905"/>
      <c r="L334" s="820"/>
      <c r="M334" s="152"/>
      <c r="O334" s="154"/>
      <c r="P334" s="154"/>
    </row>
    <row r="335" spans="1:16" s="3" customFormat="1" x14ac:dyDescent="0.35">
      <c r="A335" s="12"/>
      <c r="B335" s="628"/>
      <c r="C335" s="629"/>
      <c r="D335" s="905"/>
      <c r="E335" s="905"/>
      <c r="F335" s="905"/>
      <c r="G335" s="905"/>
      <c r="H335" s="905"/>
      <c r="I335" s="905"/>
      <c r="J335" s="905"/>
      <c r="K335" s="905"/>
      <c r="L335" s="820"/>
      <c r="M335" s="152"/>
      <c r="O335" s="154"/>
      <c r="P335" s="154"/>
    </row>
    <row r="336" spans="1:16" s="3" customFormat="1" x14ac:dyDescent="0.35">
      <c r="A336" s="12"/>
      <c r="B336" s="628"/>
      <c r="C336" s="629"/>
      <c r="D336" s="905"/>
      <c r="E336" s="905"/>
      <c r="F336" s="905"/>
      <c r="G336" s="905"/>
      <c r="H336" s="905"/>
      <c r="I336" s="905"/>
      <c r="J336" s="905"/>
      <c r="K336" s="905"/>
      <c r="L336" s="820"/>
      <c r="M336" s="152"/>
      <c r="O336" s="154"/>
      <c r="P336" s="154"/>
    </row>
    <row r="337" spans="1:16" s="3" customFormat="1" x14ac:dyDescent="0.35">
      <c r="A337" s="12"/>
      <c r="B337" s="628"/>
      <c r="C337" s="629"/>
      <c r="D337" s="905"/>
      <c r="E337" s="905"/>
      <c r="F337" s="905"/>
      <c r="G337" s="905"/>
      <c r="H337" s="905"/>
      <c r="I337" s="905"/>
      <c r="J337" s="905"/>
      <c r="K337" s="905"/>
      <c r="L337" s="820"/>
      <c r="M337" s="152"/>
      <c r="O337" s="154"/>
      <c r="P337" s="154"/>
    </row>
    <row r="338" spans="1:16" x14ac:dyDescent="0.35">
      <c r="B338" s="628"/>
      <c r="C338" s="629"/>
      <c r="D338" s="905"/>
      <c r="E338" s="905"/>
      <c r="F338" s="905"/>
      <c r="G338" s="905"/>
      <c r="H338" s="905"/>
      <c r="I338" s="905"/>
      <c r="J338" s="905"/>
      <c r="K338" s="905"/>
      <c r="L338" s="820"/>
      <c r="M338" s="2"/>
    </row>
    <row r="339" spans="1:16" x14ac:dyDescent="0.35">
      <c r="B339" s="628"/>
      <c r="C339" s="629"/>
      <c r="D339" s="905"/>
      <c r="E339" s="905"/>
      <c r="F339" s="905"/>
      <c r="G339" s="905"/>
      <c r="H339" s="905"/>
      <c r="I339" s="905"/>
      <c r="J339" s="905"/>
      <c r="K339" s="905"/>
      <c r="L339" s="820"/>
      <c r="M339" s="2"/>
    </row>
    <row r="340" spans="1:16" x14ac:dyDescent="0.35">
      <c r="B340" s="628"/>
      <c r="C340" s="629"/>
      <c r="D340" s="905"/>
      <c r="E340" s="905"/>
      <c r="F340" s="905"/>
      <c r="G340" s="905"/>
      <c r="H340" s="905"/>
      <c r="I340" s="905"/>
      <c r="J340" s="905"/>
      <c r="K340" s="905"/>
      <c r="L340" s="820"/>
      <c r="M340" s="2"/>
      <c r="O340" s="11"/>
      <c r="P340" s="11"/>
    </row>
    <row r="341" spans="1:16" x14ac:dyDescent="0.35">
      <c r="B341" s="628"/>
      <c r="C341" s="629"/>
      <c r="D341" s="905"/>
      <c r="E341" s="905"/>
      <c r="F341" s="905"/>
      <c r="G341" s="905"/>
      <c r="H341" s="905"/>
      <c r="I341" s="905"/>
      <c r="J341" s="905"/>
      <c r="K341" s="905"/>
      <c r="L341" s="820"/>
      <c r="M341" s="2"/>
      <c r="O341" s="11"/>
      <c r="P341" s="11"/>
    </row>
    <row r="342" spans="1:16" x14ac:dyDescent="0.35">
      <c r="B342" s="628"/>
      <c r="C342" s="629"/>
      <c r="D342" s="905"/>
      <c r="E342" s="905"/>
      <c r="F342" s="905"/>
      <c r="G342" s="905"/>
      <c r="H342" s="905"/>
      <c r="I342" s="905"/>
      <c r="J342" s="905"/>
      <c r="K342" s="905"/>
      <c r="L342" s="820"/>
      <c r="M342" s="2"/>
      <c r="O342" s="11"/>
      <c r="P342" s="11"/>
    </row>
    <row r="343" spans="1:16" x14ac:dyDescent="0.35">
      <c r="B343" s="628" t="str">
        <f>IF(Intro!$G$21="English",O343,P343)</f>
        <v>Emplois</v>
      </c>
      <c r="C343" s="629"/>
      <c r="D343" s="905"/>
      <c r="E343" s="905"/>
      <c r="F343" s="905"/>
      <c r="G343" s="905"/>
      <c r="H343" s="905"/>
      <c r="I343" s="905"/>
      <c r="J343" s="905"/>
      <c r="K343" s="905"/>
      <c r="L343" s="820"/>
      <c r="M343" s="2"/>
      <c r="O343" s="11" t="s">
        <v>82</v>
      </c>
      <c r="P343" s="11" t="s">
        <v>83</v>
      </c>
    </row>
    <row r="344" spans="1:16" x14ac:dyDescent="0.35">
      <c r="B344" s="628"/>
      <c r="C344" s="629"/>
      <c r="D344" s="905"/>
      <c r="E344" s="905"/>
      <c r="F344" s="905"/>
      <c r="G344" s="905"/>
      <c r="H344" s="905"/>
      <c r="I344" s="905"/>
      <c r="J344" s="905"/>
      <c r="K344" s="905"/>
      <c r="L344" s="820"/>
      <c r="M344" s="2"/>
      <c r="O344" s="11"/>
      <c r="P344" s="11"/>
    </row>
    <row r="345" spans="1:16" s="3" customFormat="1" x14ac:dyDescent="0.35">
      <c r="A345" s="12"/>
      <c r="B345" s="628"/>
      <c r="C345" s="629"/>
      <c r="D345" s="905"/>
      <c r="E345" s="905"/>
      <c r="F345" s="905"/>
      <c r="G345" s="905"/>
      <c r="H345" s="905"/>
      <c r="I345" s="905"/>
      <c r="J345" s="905"/>
      <c r="K345" s="905"/>
      <c r="L345" s="820"/>
      <c r="M345" s="152"/>
      <c r="O345" s="154"/>
      <c r="P345" s="154"/>
    </row>
    <row r="346" spans="1:16" s="3" customFormat="1" x14ac:dyDescent="0.35">
      <c r="A346" s="12"/>
      <c r="B346" s="628"/>
      <c r="C346" s="629"/>
      <c r="D346" s="905"/>
      <c r="E346" s="905"/>
      <c r="F346" s="905"/>
      <c r="G346" s="905"/>
      <c r="H346" s="905"/>
      <c r="I346" s="905"/>
      <c r="J346" s="905"/>
      <c r="K346" s="905"/>
      <c r="L346" s="820"/>
      <c r="M346" s="152"/>
      <c r="O346" s="154"/>
      <c r="P346" s="154"/>
    </row>
    <row r="347" spans="1:16" s="3" customFormat="1" x14ac:dyDescent="0.35">
      <c r="A347" s="12"/>
      <c r="B347" s="628"/>
      <c r="C347" s="629"/>
      <c r="D347" s="905"/>
      <c r="E347" s="905"/>
      <c r="F347" s="905"/>
      <c r="G347" s="905"/>
      <c r="H347" s="905"/>
      <c r="I347" s="905"/>
      <c r="J347" s="905"/>
      <c r="K347" s="905"/>
      <c r="L347" s="820"/>
      <c r="M347" s="152"/>
      <c r="O347" s="154"/>
      <c r="P347" s="154"/>
    </row>
    <row r="348" spans="1:16" s="3" customFormat="1" x14ac:dyDescent="0.35">
      <c r="A348" s="12"/>
      <c r="B348" s="628"/>
      <c r="C348" s="629"/>
      <c r="D348" s="905"/>
      <c r="E348" s="905"/>
      <c r="F348" s="905"/>
      <c r="G348" s="905"/>
      <c r="H348" s="905"/>
      <c r="I348" s="905"/>
      <c r="J348" s="905"/>
      <c r="K348" s="905"/>
      <c r="L348" s="820"/>
      <c r="M348" s="152"/>
      <c r="O348" s="154"/>
      <c r="P348" s="154"/>
    </row>
    <row r="349" spans="1:16" x14ac:dyDescent="0.35">
      <c r="B349" s="628"/>
      <c r="C349" s="629"/>
      <c r="D349" s="905"/>
      <c r="E349" s="905"/>
      <c r="F349" s="905"/>
      <c r="G349" s="905"/>
      <c r="H349" s="905"/>
      <c r="I349" s="905"/>
      <c r="J349" s="905"/>
      <c r="K349" s="905"/>
      <c r="L349" s="820"/>
      <c r="M349" s="2"/>
      <c r="O349" s="11"/>
      <c r="P349" s="11"/>
    </row>
    <row r="350" spans="1:16" x14ac:dyDescent="0.35">
      <c r="B350" s="628"/>
      <c r="C350" s="629"/>
      <c r="D350" s="905"/>
      <c r="E350" s="905"/>
      <c r="F350" s="905"/>
      <c r="G350" s="905"/>
      <c r="H350" s="905"/>
      <c r="I350" s="905"/>
      <c r="J350" s="905"/>
      <c r="K350" s="905"/>
      <c r="L350" s="820"/>
      <c r="M350" s="2"/>
      <c r="O350" s="11"/>
      <c r="P350" s="11"/>
    </row>
    <row r="351" spans="1:16" x14ac:dyDescent="0.35">
      <c r="B351" s="628"/>
      <c r="C351" s="629"/>
      <c r="D351" s="905"/>
      <c r="E351" s="905"/>
      <c r="F351" s="905"/>
      <c r="G351" s="905"/>
      <c r="H351" s="905"/>
      <c r="I351" s="905"/>
      <c r="J351" s="905"/>
      <c r="K351" s="905"/>
      <c r="L351" s="820"/>
      <c r="M351" s="2"/>
      <c r="O351" s="11"/>
      <c r="P351" s="11"/>
    </row>
    <row r="352" spans="1:16" x14ac:dyDescent="0.35">
      <c r="B352" s="628"/>
      <c r="C352" s="629"/>
      <c r="D352" s="905"/>
      <c r="E352" s="905"/>
      <c r="F352" s="905"/>
      <c r="G352" s="905"/>
      <c r="H352" s="905"/>
      <c r="I352" s="905"/>
      <c r="J352" s="905"/>
      <c r="K352" s="905"/>
      <c r="L352" s="820"/>
      <c r="M352" s="2"/>
      <c r="O352" s="11"/>
      <c r="P352" s="11"/>
    </row>
    <row r="353" spans="1:16" x14ac:dyDescent="0.35">
      <c r="B353" s="628" t="str">
        <f>IF(Intro!$G$21="English",O353,P353)</f>
        <v>Salaires</v>
      </c>
      <c r="C353" s="629"/>
      <c r="D353" s="905"/>
      <c r="E353" s="905"/>
      <c r="F353" s="905"/>
      <c r="G353" s="905"/>
      <c r="H353" s="905"/>
      <c r="I353" s="905"/>
      <c r="J353" s="905"/>
      <c r="K353" s="905"/>
      <c r="L353" s="820"/>
      <c r="M353" s="2"/>
      <c r="O353" s="11" t="s">
        <v>84</v>
      </c>
      <c r="P353" s="11" t="s">
        <v>85</v>
      </c>
    </row>
    <row r="354" spans="1:16" x14ac:dyDescent="0.35">
      <c r="B354" s="628"/>
      <c r="C354" s="629"/>
      <c r="D354" s="905"/>
      <c r="E354" s="905"/>
      <c r="F354" s="905"/>
      <c r="G354" s="905"/>
      <c r="H354" s="905"/>
      <c r="I354" s="905"/>
      <c r="J354" s="905"/>
      <c r="K354" s="905"/>
      <c r="L354" s="820"/>
      <c r="M354" s="2"/>
      <c r="O354" s="11"/>
      <c r="P354" s="11"/>
    </row>
    <row r="355" spans="1:16" s="3" customFormat="1" x14ac:dyDescent="0.35">
      <c r="A355" s="12"/>
      <c r="B355" s="628"/>
      <c r="C355" s="629"/>
      <c r="D355" s="905"/>
      <c r="E355" s="905"/>
      <c r="F355" s="905"/>
      <c r="G355" s="905"/>
      <c r="H355" s="905"/>
      <c r="I355" s="905"/>
      <c r="J355" s="905"/>
      <c r="K355" s="905"/>
      <c r="L355" s="820"/>
      <c r="M355" s="152"/>
      <c r="O355" s="154"/>
      <c r="P355" s="154"/>
    </row>
    <row r="356" spans="1:16" s="3" customFormat="1" x14ac:dyDescent="0.35">
      <c r="A356" s="12"/>
      <c r="B356" s="628"/>
      <c r="C356" s="629"/>
      <c r="D356" s="905"/>
      <c r="E356" s="905"/>
      <c r="F356" s="905"/>
      <c r="G356" s="905"/>
      <c r="H356" s="905"/>
      <c r="I356" s="905"/>
      <c r="J356" s="905"/>
      <c r="K356" s="905"/>
      <c r="L356" s="820"/>
      <c r="M356" s="152"/>
      <c r="O356" s="154"/>
      <c r="P356" s="154"/>
    </row>
    <row r="357" spans="1:16" s="3" customFormat="1" x14ac:dyDescent="0.35">
      <c r="A357" s="12"/>
      <c r="B357" s="628"/>
      <c r="C357" s="629"/>
      <c r="D357" s="905"/>
      <c r="E357" s="905"/>
      <c r="F357" s="905"/>
      <c r="G357" s="905"/>
      <c r="H357" s="905"/>
      <c r="I357" s="905"/>
      <c r="J357" s="905"/>
      <c r="K357" s="905"/>
      <c r="L357" s="820"/>
      <c r="M357" s="152"/>
      <c r="O357" s="154"/>
      <c r="P357" s="154"/>
    </row>
    <row r="358" spans="1:16" s="3" customFormat="1" x14ac:dyDescent="0.35">
      <c r="A358" s="12"/>
      <c r="B358" s="628"/>
      <c r="C358" s="629"/>
      <c r="D358" s="905"/>
      <c r="E358" s="905"/>
      <c r="F358" s="905"/>
      <c r="G358" s="905"/>
      <c r="H358" s="905"/>
      <c r="I358" s="905"/>
      <c r="J358" s="905"/>
      <c r="K358" s="905"/>
      <c r="L358" s="820"/>
      <c r="M358" s="152"/>
      <c r="O358" s="154"/>
      <c r="P358" s="154"/>
    </row>
    <row r="359" spans="1:16" x14ac:dyDescent="0.35">
      <c r="B359" s="628"/>
      <c r="C359" s="629"/>
      <c r="D359" s="905"/>
      <c r="E359" s="905"/>
      <c r="F359" s="905"/>
      <c r="G359" s="905"/>
      <c r="H359" s="905"/>
      <c r="I359" s="905"/>
      <c r="J359" s="905"/>
      <c r="K359" s="905"/>
      <c r="L359" s="820"/>
      <c r="M359" s="2"/>
      <c r="O359" s="11"/>
      <c r="P359" s="11"/>
    </row>
    <row r="360" spans="1:16" x14ac:dyDescent="0.35">
      <c r="B360" s="628"/>
      <c r="C360" s="629"/>
      <c r="D360" s="905"/>
      <c r="E360" s="905"/>
      <c r="F360" s="905"/>
      <c r="G360" s="905"/>
      <c r="H360" s="905"/>
      <c r="I360" s="905"/>
      <c r="J360" s="905"/>
      <c r="K360" s="905"/>
      <c r="L360" s="820"/>
      <c r="M360" s="2"/>
      <c r="O360" s="11"/>
      <c r="P360" s="11"/>
    </row>
    <row r="361" spans="1:16" x14ac:dyDescent="0.35">
      <c r="B361" s="628"/>
      <c r="C361" s="629"/>
      <c r="D361" s="905"/>
      <c r="E361" s="905"/>
      <c r="F361" s="905"/>
      <c r="G361" s="905"/>
      <c r="H361" s="905"/>
      <c r="I361" s="905"/>
      <c r="J361" s="905"/>
      <c r="K361" s="905"/>
      <c r="L361" s="820"/>
      <c r="M361" s="2"/>
      <c r="O361" s="11"/>
      <c r="P361" s="11"/>
    </row>
    <row r="362" spans="1:16" x14ac:dyDescent="0.35">
      <c r="B362" s="903"/>
      <c r="C362" s="904"/>
      <c r="D362" s="906"/>
      <c r="E362" s="906"/>
      <c r="F362" s="906"/>
      <c r="G362" s="906"/>
      <c r="H362" s="906"/>
      <c r="I362" s="906"/>
      <c r="J362" s="906"/>
      <c r="K362" s="906"/>
      <c r="L362" s="907"/>
      <c r="M362" s="2"/>
      <c r="O362" s="11"/>
      <c r="P362" s="11"/>
    </row>
    <row r="363" spans="1:16" s="156" customFormat="1" x14ac:dyDescent="0.35">
      <c r="A363" s="179"/>
      <c r="B363" s="13"/>
      <c r="C363" s="13"/>
      <c r="D363" s="180"/>
      <c r="E363" s="180"/>
      <c r="F363" s="180"/>
      <c r="G363" s="180"/>
      <c r="H363" s="180"/>
      <c r="I363" s="180"/>
      <c r="J363" s="180"/>
      <c r="K363" s="180"/>
      <c r="L363" s="180"/>
      <c r="N363" s="181"/>
    </row>
    <row r="364" spans="1:16" x14ac:dyDescent="0.35">
      <c r="B364" s="599" t="str">
        <f>IF(Intro!$G$21="English",O364,P364)</f>
        <v>ÉTAT DES RÉSULTATS - POUR L'ENSEMBLE DE L'ENTREPRISE</v>
      </c>
      <c r="C364" s="600"/>
      <c r="D364" s="600"/>
      <c r="E364" s="600"/>
      <c r="F364" s="600"/>
      <c r="G364" s="600"/>
      <c r="H364" s="600"/>
      <c r="I364" s="600"/>
      <c r="J364" s="600"/>
      <c r="K364" s="600"/>
      <c r="L364" s="601"/>
      <c r="M364" s="2"/>
      <c r="O364" s="2" t="s">
        <v>838</v>
      </c>
      <c r="P364" s="2" t="s">
        <v>839</v>
      </c>
    </row>
    <row r="365" spans="1:16" x14ac:dyDescent="0.35">
      <c r="B365" s="728" t="s">
        <v>35</v>
      </c>
      <c r="C365" s="729"/>
      <c r="D365" s="729"/>
      <c r="E365" s="729"/>
      <c r="F365" s="729"/>
      <c r="G365" s="729"/>
      <c r="H365" s="729"/>
      <c r="I365" s="729"/>
      <c r="J365" s="729"/>
      <c r="K365" s="729"/>
      <c r="L365" s="730"/>
      <c r="M365" s="2"/>
    </row>
    <row r="366" spans="1:16" x14ac:dyDescent="0.35">
      <c r="B366" s="24"/>
      <c r="C366" s="25"/>
      <c r="D366" s="25"/>
      <c r="E366" s="26"/>
      <c r="F366" s="26"/>
      <c r="G366" s="26"/>
      <c r="H366" s="26"/>
      <c r="I366" s="26"/>
      <c r="J366" s="26"/>
      <c r="K366" s="26"/>
      <c r="L366" s="27"/>
      <c r="M366" s="2"/>
    </row>
    <row r="367" spans="1:16" x14ac:dyDescent="0.35">
      <c r="B367" s="602" t="str">
        <f>IF(Intro!$G$21="English",O367,P367)</f>
        <v>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v>
      </c>
      <c r="C367" s="603"/>
      <c r="D367" s="603"/>
      <c r="E367" s="603"/>
      <c r="F367" s="603"/>
      <c r="G367" s="603"/>
      <c r="H367" s="603"/>
      <c r="I367" s="603"/>
      <c r="J367" s="603"/>
      <c r="K367" s="603"/>
      <c r="L367" s="604"/>
      <c r="M367" s="2"/>
      <c r="O367" s="11" t="s">
        <v>203</v>
      </c>
      <c r="P367" s="2" t="s">
        <v>204</v>
      </c>
    </row>
    <row r="368" spans="1:16" x14ac:dyDescent="0.35">
      <c r="B368" s="602"/>
      <c r="C368" s="603"/>
      <c r="D368" s="603"/>
      <c r="E368" s="603"/>
      <c r="F368" s="603"/>
      <c r="G368" s="603"/>
      <c r="H368" s="603"/>
      <c r="I368" s="603"/>
      <c r="J368" s="603"/>
      <c r="K368" s="603"/>
      <c r="L368" s="604"/>
      <c r="M368" s="2"/>
      <c r="O368" s="11"/>
    </row>
    <row r="369" spans="1:16" x14ac:dyDescent="0.35">
      <c r="B369" s="159"/>
      <c r="C369" s="160"/>
      <c r="D369" s="25"/>
      <c r="E369" s="26"/>
      <c r="F369" s="26"/>
      <c r="G369" s="26"/>
      <c r="H369" s="26"/>
      <c r="I369" s="26"/>
      <c r="J369" s="26"/>
      <c r="K369" s="26"/>
      <c r="L369" s="27"/>
      <c r="M369" s="2"/>
      <c r="O369" s="11"/>
    </row>
    <row r="370" spans="1:16" x14ac:dyDescent="0.35">
      <c r="B370" s="159"/>
      <c r="C370" s="160"/>
      <c r="D370" s="25"/>
      <c r="E370" s="2"/>
      <c r="F370" s="2"/>
      <c r="G370" s="769">
        <f>Variables!$B$6</f>
        <v>2023</v>
      </c>
      <c r="H370" s="769">
        <f>G370+1</f>
        <v>2024</v>
      </c>
      <c r="I370" s="769">
        <f>H370+1</f>
        <v>2025</v>
      </c>
      <c r="J370" s="769" t="str">
        <f>IF(Intro!$G$21="English",Variables!B9,Variables!C9)</f>
        <v>janv.-mars 2025</v>
      </c>
      <c r="K370" s="769" t="str">
        <f>IF(Intro!$G$21="English",Variables!B10,Variables!C10)</f>
        <v>janv.-mars 2026</v>
      </c>
      <c r="L370" s="178"/>
      <c r="M370" s="2"/>
      <c r="O370" s="11"/>
    </row>
    <row r="371" spans="1:16" x14ac:dyDescent="0.35">
      <c r="B371" s="159"/>
      <c r="C371" s="160"/>
      <c r="D371" s="25"/>
      <c r="E371" s="2"/>
      <c r="F371" s="2"/>
      <c r="G371" s="769"/>
      <c r="H371" s="769"/>
      <c r="I371" s="769"/>
      <c r="J371" s="769"/>
      <c r="K371" s="769"/>
      <c r="L371" s="178"/>
      <c r="M371" s="2"/>
      <c r="O371" s="11"/>
    </row>
    <row r="372" spans="1:16" x14ac:dyDescent="0.35">
      <c r="B372" s="869" t="str">
        <f>IF(Intro!$G$21="English",O372,P372)</f>
        <v>Valeur de vente nette</v>
      </c>
      <c r="C372" s="870"/>
      <c r="D372" s="870"/>
      <c r="E372" s="871"/>
      <c r="F372" s="213" t="s">
        <v>559</v>
      </c>
      <c r="G372" s="249"/>
      <c r="H372" s="249"/>
      <c r="I372" s="249"/>
      <c r="J372" s="249"/>
      <c r="K372" s="249"/>
      <c r="L372" s="178"/>
      <c r="M372" s="2"/>
      <c r="O372" s="2" t="s">
        <v>46</v>
      </c>
      <c r="P372" s="2" t="s">
        <v>71</v>
      </c>
    </row>
    <row r="373" spans="1:16" x14ac:dyDescent="0.35">
      <c r="B373" s="869" t="str">
        <f>IF(Intro!$G$21="English",O373,P373)</f>
        <v>Coût des marchandises vendues</v>
      </c>
      <c r="C373" s="870"/>
      <c r="D373" s="870"/>
      <c r="E373" s="871"/>
      <c r="F373" s="213" t="s">
        <v>559</v>
      </c>
      <c r="G373" s="249"/>
      <c r="H373" s="249"/>
      <c r="I373" s="249"/>
      <c r="J373" s="249"/>
      <c r="K373" s="249"/>
      <c r="L373" s="178"/>
      <c r="M373" s="2"/>
      <c r="O373" s="2" t="s">
        <v>47</v>
      </c>
      <c r="P373" s="2" t="s">
        <v>48</v>
      </c>
    </row>
    <row r="374" spans="1:16" s="3" customFormat="1" x14ac:dyDescent="0.35">
      <c r="A374" s="18"/>
      <c r="B374" s="872" t="str">
        <f>IF(Intro!$G$21="English",O374,P374)</f>
        <v>Marge bénéficiaire brute (perte brute)</v>
      </c>
      <c r="C374" s="873"/>
      <c r="D374" s="873"/>
      <c r="E374" s="874"/>
      <c r="F374" s="213" t="s">
        <v>559</v>
      </c>
      <c r="G374" s="257">
        <f>G372-G373</f>
        <v>0</v>
      </c>
      <c r="H374" s="257">
        <f>H372-H373</f>
        <v>0</v>
      </c>
      <c r="I374" s="257">
        <f>I372-I373</f>
        <v>0</v>
      </c>
      <c r="J374" s="257">
        <f>J372-J373</f>
        <v>0</v>
      </c>
      <c r="K374" s="257">
        <f>K372-K373</f>
        <v>0</v>
      </c>
      <c r="L374" s="178"/>
      <c r="O374" s="3" t="s">
        <v>49</v>
      </c>
      <c r="P374" s="3" t="s">
        <v>50</v>
      </c>
    </row>
    <row r="375" spans="1:16" x14ac:dyDescent="0.35">
      <c r="B375" s="869" t="str">
        <f>IF(Intro!$G$21="English",O375,P375)</f>
        <v>Frais généraux, de vente, et d'administration</v>
      </c>
      <c r="C375" s="870"/>
      <c r="D375" s="870"/>
      <c r="E375" s="871"/>
      <c r="F375" s="213" t="s">
        <v>559</v>
      </c>
      <c r="G375" s="249"/>
      <c r="H375" s="249"/>
      <c r="I375" s="249"/>
      <c r="J375" s="249"/>
      <c r="K375" s="249"/>
      <c r="L375" s="178"/>
      <c r="M375" s="2"/>
      <c r="O375" s="2" t="s">
        <v>51</v>
      </c>
      <c r="P375" s="2" t="s">
        <v>52</v>
      </c>
    </row>
    <row r="376" spans="1:16" x14ac:dyDescent="0.35">
      <c r="B376" s="869" t="str">
        <f>IF(Intro!$G$21="English",O376,P376)</f>
        <v>Charges financières</v>
      </c>
      <c r="C376" s="870"/>
      <c r="D376" s="870"/>
      <c r="E376" s="871"/>
      <c r="F376" s="213" t="s">
        <v>559</v>
      </c>
      <c r="G376" s="249"/>
      <c r="H376" s="249"/>
      <c r="I376" s="249"/>
      <c r="J376" s="249"/>
      <c r="K376" s="249"/>
      <c r="L376" s="178"/>
      <c r="M376" s="2"/>
      <c r="O376" s="2" t="s">
        <v>53</v>
      </c>
      <c r="P376" s="2" t="s">
        <v>54</v>
      </c>
    </row>
    <row r="377" spans="1:16" x14ac:dyDescent="0.35">
      <c r="B377" s="869" t="str">
        <f>IF(Intro!$G$21="English",O377,P377)</f>
        <v>Autres dépenses</v>
      </c>
      <c r="C377" s="870"/>
      <c r="D377" s="870"/>
      <c r="E377" s="871"/>
      <c r="F377" s="213" t="s">
        <v>559</v>
      </c>
      <c r="G377" s="249"/>
      <c r="H377" s="249"/>
      <c r="I377" s="249"/>
      <c r="J377" s="249"/>
      <c r="K377" s="249"/>
      <c r="L377" s="178"/>
      <c r="M377" s="2"/>
      <c r="O377" s="2" t="s">
        <v>114</v>
      </c>
      <c r="P377" s="2" t="s">
        <v>115</v>
      </c>
    </row>
    <row r="378" spans="1:16" s="3" customFormat="1" x14ac:dyDescent="0.35">
      <c r="A378" s="18"/>
      <c r="B378" s="872" t="str">
        <f>IF(Intro!$G$21="English",O378,P378)</f>
        <v>Revenu net (perte nette) avant impôts</v>
      </c>
      <c r="C378" s="873"/>
      <c r="D378" s="873"/>
      <c r="E378" s="874"/>
      <c r="F378" s="213" t="s">
        <v>559</v>
      </c>
      <c r="G378" s="257">
        <f>G374-G375-G376-G377</f>
        <v>0</v>
      </c>
      <c r="H378" s="257">
        <f>H374-H375-H376-H377</f>
        <v>0</v>
      </c>
      <c r="I378" s="257">
        <f>I374-I375-I376-I377</f>
        <v>0</v>
      </c>
      <c r="J378" s="257">
        <f>J374-J375-J376-J377</f>
        <v>0</v>
      </c>
      <c r="K378" s="257">
        <f>K374-K375-K376-K377</f>
        <v>0</v>
      </c>
      <c r="L378" s="178"/>
      <c r="O378" s="3" t="s">
        <v>55</v>
      </c>
      <c r="P378" s="3" t="s">
        <v>56</v>
      </c>
    </row>
    <row r="379" spans="1:16" s="3" customFormat="1" x14ac:dyDescent="0.35">
      <c r="A379" s="18"/>
      <c r="B379" s="232"/>
      <c r="C379" s="233"/>
      <c r="D379" s="233"/>
      <c r="E379" s="233"/>
      <c r="F379" s="234"/>
      <c r="G379" s="234"/>
      <c r="H379" s="234"/>
      <c r="I379" s="234"/>
      <c r="J379" s="234"/>
      <c r="K379" s="234"/>
      <c r="L379" s="178"/>
    </row>
    <row r="380" spans="1:16" s="3" customFormat="1" x14ac:dyDescent="0.35">
      <c r="A380" s="18"/>
      <c r="B380" s="235" t="str">
        <f>IF(Intro!$G$21="English",O380,P380)</f>
        <v>Décrire les "Autres dépenses".</v>
      </c>
      <c r="L380" s="162"/>
      <c r="O380" s="2" t="s">
        <v>703</v>
      </c>
      <c r="P380" s="2" t="s">
        <v>704</v>
      </c>
    </row>
    <row r="381" spans="1:16" s="3" customFormat="1" x14ac:dyDescent="0.35">
      <c r="A381" s="18"/>
      <c r="B381" s="236"/>
      <c r="C381" s="151"/>
      <c r="L381" s="162"/>
      <c r="O381" s="2"/>
      <c r="P381" s="2"/>
    </row>
    <row r="382" spans="1:16" s="3" customFormat="1" x14ac:dyDescent="0.35">
      <c r="A382" s="18"/>
      <c r="B382" s="908"/>
      <c r="C382" s="909"/>
      <c r="D382" s="909"/>
      <c r="E382" s="909"/>
      <c r="F382" s="909"/>
      <c r="G382" s="909"/>
      <c r="H382" s="909"/>
      <c r="I382" s="909"/>
      <c r="J382" s="909"/>
      <c r="K382" s="909"/>
      <c r="L382" s="910"/>
      <c r="O382" s="2"/>
      <c r="P382" s="2"/>
    </row>
    <row r="383" spans="1:16" s="3" customFormat="1" x14ac:dyDescent="0.35">
      <c r="A383" s="18"/>
      <c r="B383" s="908"/>
      <c r="C383" s="909"/>
      <c r="D383" s="909"/>
      <c r="E383" s="909"/>
      <c r="F383" s="909"/>
      <c r="G383" s="909"/>
      <c r="H383" s="909"/>
      <c r="I383" s="909"/>
      <c r="J383" s="909"/>
      <c r="K383" s="909"/>
      <c r="L383" s="910"/>
      <c r="O383" s="2"/>
      <c r="P383" s="2"/>
    </row>
    <row r="384" spans="1:16" s="3" customFormat="1" x14ac:dyDescent="0.35">
      <c r="A384" s="18"/>
      <c r="B384" s="908"/>
      <c r="C384" s="909"/>
      <c r="D384" s="909"/>
      <c r="E384" s="909"/>
      <c r="F384" s="909"/>
      <c r="G384" s="909"/>
      <c r="H384" s="909"/>
      <c r="I384" s="909"/>
      <c r="J384" s="909"/>
      <c r="K384" s="909"/>
      <c r="L384" s="910"/>
      <c r="O384" s="2"/>
      <c r="P384" s="2"/>
    </row>
    <row r="385" spans="1:16" s="3" customFormat="1" x14ac:dyDescent="0.35">
      <c r="A385" s="18"/>
      <c r="B385" s="908"/>
      <c r="C385" s="909"/>
      <c r="D385" s="909"/>
      <c r="E385" s="909"/>
      <c r="F385" s="909"/>
      <c r="G385" s="909"/>
      <c r="H385" s="909"/>
      <c r="I385" s="909"/>
      <c r="J385" s="909"/>
      <c r="K385" s="909"/>
      <c r="L385" s="910"/>
      <c r="O385" s="2"/>
      <c r="P385" s="2"/>
    </row>
    <row r="386" spans="1:16" s="3" customFormat="1" x14ac:dyDescent="0.35">
      <c r="A386" s="18"/>
      <c r="B386" s="908"/>
      <c r="C386" s="909"/>
      <c r="D386" s="909"/>
      <c r="E386" s="909"/>
      <c r="F386" s="909"/>
      <c r="G386" s="909"/>
      <c r="H386" s="909"/>
      <c r="I386" s="909"/>
      <c r="J386" s="909"/>
      <c r="K386" s="909"/>
      <c r="L386" s="910"/>
      <c r="O386" s="2"/>
      <c r="P386" s="2"/>
    </row>
    <row r="387" spans="1:16" s="3" customFormat="1" x14ac:dyDescent="0.35">
      <c r="A387" s="18"/>
      <c r="B387" s="908"/>
      <c r="C387" s="909"/>
      <c r="D387" s="909"/>
      <c r="E387" s="909"/>
      <c r="F387" s="909"/>
      <c r="G387" s="909"/>
      <c r="H387" s="909"/>
      <c r="I387" s="909"/>
      <c r="J387" s="909"/>
      <c r="K387" s="909"/>
      <c r="L387" s="910"/>
      <c r="O387" s="2"/>
      <c r="P387" s="2"/>
    </row>
    <row r="388" spans="1:16" s="3" customFormat="1" x14ac:dyDescent="0.35">
      <c r="A388" s="18"/>
      <c r="B388" s="908"/>
      <c r="C388" s="909"/>
      <c r="D388" s="909"/>
      <c r="E388" s="909"/>
      <c r="F388" s="909"/>
      <c r="G388" s="909"/>
      <c r="H388" s="909"/>
      <c r="I388" s="909"/>
      <c r="J388" s="909"/>
      <c r="K388" s="909"/>
      <c r="L388" s="910"/>
      <c r="O388" s="2"/>
      <c r="P388" s="2"/>
    </row>
    <row r="389" spans="1:16" s="3" customFormat="1" x14ac:dyDescent="0.35">
      <c r="A389" s="18"/>
      <c r="B389" s="908"/>
      <c r="C389" s="909"/>
      <c r="D389" s="909"/>
      <c r="E389" s="909"/>
      <c r="F389" s="909"/>
      <c r="G389" s="909"/>
      <c r="H389" s="909"/>
      <c r="I389" s="909"/>
      <c r="J389" s="909"/>
      <c r="K389" s="909"/>
      <c r="L389" s="910"/>
      <c r="O389" s="2"/>
      <c r="P389" s="2"/>
    </row>
    <row r="390" spans="1:16" s="3" customFormat="1" x14ac:dyDescent="0.35">
      <c r="A390" s="18"/>
      <c r="B390" s="237"/>
      <c r="C390" s="238"/>
      <c r="D390" s="238"/>
      <c r="E390" s="238"/>
      <c r="F390" s="234"/>
      <c r="G390" s="239"/>
      <c r="H390" s="239"/>
      <c r="I390" s="239"/>
      <c r="J390" s="239"/>
      <c r="K390" s="239"/>
      <c r="L390" s="178"/>
      <c r="O390" s="2"/>
      <c r="P390" s="2"/>
    </row>
    <row r="391" spans="1:16" s="3" customFormat="1" x14ac:dyDescent="0.35">
      <c r="A391" s="18"/>
      <c r="B391" s="602" t="str">
        <f>B35</f>
        <v>Expliquez toute variation importante entre les périodes et toute irrégularité tels que des montants négatifs dans les montants indiqués ci-dessus.</v>
      </c>
      <c r="C391" s="603"/>
      <c r="D391" s="603"/>
      <c r="E391" s="603"/>
      <c r="F391" s="603"/>
      <c r="G391" s="603"/>
      <c r="H391" s="603"/>
      <c r="I391" s="603"/>
      <c r="J391" s="603"/>
      <c r="K391" s="603"/>
      <c r="L391" s="604"/>
      <c r="O391" s="2"/>
      <c r="P391" s="2"/>
    </row>
    <row r="392" spans="1:16" s="3" customFormat="1" x14ac:dyDescent="0.35">
      <c r="A392" s="18"/>
      <c r="B392" s="223"/>
      <c r="C392" s="151"/>
      <c r="D392" s="151"/>
      <c r="E392" s="151"/>
      <c r="L392" s="178"/>
      <c r="O392" s="2"/>
      <c r="P392" s="2"/>
    </row>
    <row r="393" spans="1:16" s="3" customFormat="1" x14ac:dyDescent="0.35">
      <c r="A393" s="18"/>
      <c r="B393" s="882"/>
      <c r="C393" s="883"/>
      <c r="D393" s="883"/>
      <c r="E393" s="883"/>
      <c r="F393" s="883"/>
      <c r="G393" s="883"/>
      <c r="H393" s="883"/>
      <c r="I393" s="883"/>
      <c r="J393" s="883"/>
      <c r="K393" s="883"/>
      <c r="L393" s="884"/>
      <c r="O393" s="2"/>
      <c r="P393" s="2"/>
    </row>
    <row r="394" spans="1:16" s="3" customFormat="1" x14ac:dyDescent="0.35">
      <c r="A394" s="18"/>
      <c r="B394" s="882"/>
      <c r="C394" s="883"/>
      <c r="D394" s="883"/>
      <c r="E394" s="883"/>
      <c r="F394" s="883"/>
      <c r="G394" s="883"/>
      <c r="H394" s="883"/>
      <c r="I394" s="883"/>
      <c r="J394" s="883"/>
      <c r="K394" s="883"/>
      <c r="L394" s="884"/>
      <c r="O394" s="2"/>
      <c r="P394" s="2"/>
    </row>
    <row r="395" spans="1:16" s="3" customFormat="1" x14ac:dyDescent="0.35">
      <c r="A395" s="18"/>
      <c r="B395" s="882"/>
      <c r="C395" s="883"/>
      <c r="D395" s="883"/>
      <c r="E395" s="883"/>
      <c r="F395" s="883"/>
      <c r="G395" s="883"/>
      <c r="H395" s="883"/>
      <c r="I395" s="883"/>
      <c r="J395" s="883"/>
      <c r="K395" s="883"/>
      <c r="L395" s="884"/>
      <c r="O395" s="2"/>
      <c r="P395" s="2"/>
    </row>
    <row r="396" spans="1:16" s="3" customFormat="1" x14ac:dyDescent="0.35">
      <c r="A396" s="18"/>
      <c r="B396" s="882"/>
      <c r="C396" s="883"/>
      <c r="D396" s="883"/>
      <c r="E396" s="883"/>
      <c r="F396" s="883"/>
      <c r="G396" s="883"/>
      <c r="H396" s="883"/>
      <c r="I396" s="883"/>
      <c r="J396" s="883"/>
      <c r="K396" s="883"/>
      <c r="L396" s="884"/>
      <c r="O396" s="2"/>
      <c r="P396" s="2"/>
    </row>
    <row r="397" spans="1:16" s="3" customFormat="1" x14ac:dyDescent="0.35">
      <c r="A397" s="18"/>
      <c r="B397" s="882"/>
      <c r="C397" s="883"/>
      <c r="D397" s="883"/>
      <c r="E397" s="883"/>
      <c r="F397" s="883"/>
      <c r="G397" s="883"/>
      <c r="H397" s="883"/>
      <c r="I397" s="883"/>
      <c r="J397" s="883"/>
      <c r="K397" s="883"/>
      <c r="L397" s="884"/>
      <c r="O397" s="2"/>
      <c r="P397" s="2"/>
    </row>
    <row r="398" spans="1:16" s="3" customFormat="1" x14ac:dyDescent="0.35">
      <c r="A398" s="18"/>
      <c r="B398" s="882"/>
      <c r="C398" s="883"/>
      <c r="D398" s="883"/>
      <c r="E398" s="883"/>
      <c r="F398" s="883"/>
      <c r="G398" s="883"/>
      <c r="H398" s="883"/>
      <c r="I398" s="883"/>
      <c r="J398" s="883"/>
      <c r="K398" s="883"/>
      <c r="L398" s="884"/>
      <c r="O398" s="2"/>
      <c r="P398" s="2"/>
    </row>
    <row r="399" spans="1:16" s="3" customFormat="1" x14ac:dyDescent="0.35">
      <c r="A399" s="18"/>
      <c r="B399" s="882"/>
      <c r="C399" s="883"/>
      <c r="D399" s="883"/>
      <c r="E399" s="883"/>
      <c r="F399" s="883"/>
      <c r="G399" s="883"/>
      <c r="H399" s="883"/>
      <c r="I399" s="883"/>
      <c r="J399" s="883"/>
      <c r="K399" s="883"/>
      <c r="L399" s="884"/>
      <c r="O399" s="2"/>
      <c r="P399" s="2"/>
    </row>
    <row r="400" spans="1:16" s="3" customFormat="1" x14ac:dyDescent="0.35">
      <c r="A400" s="18"/>
      <c r="B400" s="882"/>
      <c r="C400" s="883"/>
      <c r="D400" s="883"/>
      <c r="E400" s="883"/>
      <c r="F400" s="883"/>
      <c r="G400" s="883"/>
      <c r="H400" s="883"/>
      <c r="I400" s="883"/>
      <c r="J400" s="883"/>
      <c r="K400" s="883"/>
      <c r="L400" s="884"/>
      <c r="O400" s="2"/>
      <c r="P400" s="2"/>
    </row>
    <row r="401" spans="1:16" x14ac:dyDescent="0.35">
      <c r="B401" s="175"/>
      <c r="C401" s="176"/>
      <c r="D401" s="176"/>
      <c r="E401" s="176"/>
      <c r="F401" s="176"/>
      <c r="G401" s="176"/>
      <c r="H401" s="176"/>
      <c r="I401" s="176"/>
      <c r="J401" s="176"/>
      <c r="K401" s="176"/>
      <c r="L401" s="177"/>
      <c r="M401" s="2"/>
    </row>
    <row r="402" spans="1:16" s="3" customFormat="1" x14ac:dyDescent="0.35">
      <c r="A402" s="12"/>
      <c r="B402" s="710" t="s">
        <v>36</v>
      </c>
      <c r="C402" s="711"/>
      <c r="D402" s="711"/>
      <c r="E402" s="711"/>
      <c r="F402" s="711"/>
      <c r="G402" s="711"/>
      <c r="H402" s="711"/>
      <c r="I402" s="711"/>
      <c r="J402" s="711"/>
      <c r="K402" s="711"/>
      <c r="L402" s="712"/>
      <c r="M402" s="167"/>
      <c r="O402" s="2"/>
    </row>
    <row r="403" spans="1:16" x14ac:dyDescent="0.35">
      <c r="B403" s="169"/>
      <c r="C403" s="170"/>
      <c r="D403" s="170"/>
      <c r="E403" s="170"/>
      <c r="F403" s="170"/>
      <c r="G403" s="170"/>
      <c r="H403" s="170"/>
      <c r="I403" s="170"/>
      <c r="J403" s="170"/>
      <c r="K403" s="170"/>
      <c r="L403" s="171"/>
      <c r="M403" s="2"/>
    </row>
    <row r="404" spans="1:16" x14ac:dyDescent="0.35">
      <c r="B404" s="608" t="str">
        <f>IF(Intro!$G$21="English",O404,P404)</f>
        <v>Présentez les états financiers vérifiés pour l'ensemble de l'entreprise pour chaque exercice depuis le 1er janvier 2023. Si votre entreprise ne prépare pas habituellement d’états vérifiés, soumettez des états non vérifiés équivalents.</v>
      </c>
      <c r="C404" s="609"/>
      <c r="D404" s="609"/>
      <c r="E404" s="609"/>
      <c r="F404" s="609"/>
      <c r="G404" s="609"/>
      <c r="H404" s="609"/>
      <c r="I404" s="609"/>
      <c r="J404" s="609"/>
      <c r="K404" s="609"/>
      <c r="L404" s="610"/>
      <c r="M404" s="2"/>
      <c r="O404" s="2" t="str">
        <f>"Submit audited financial statements for your total firm for each fiscal year since January 1, "&amp;Variables!B6&amp;". If unavailable, provide the equivalent unaudited statements."</f>
        <v>Submit audited financial statements for your total firm for each fiscal year since January 1, 2023. If unavailable, provide the equivalent unaudited statements.</v>
      </c>
      <c r="P404" s="2" t="str">
        <f>"Présentez les états financiers vérifiés pour l'ensemble de l'entreprise pour chaque exercice depuis le 1er janvier "&amp;Variables!B6&amp;". Si votre entreprise ne prépare pas habituellement d’états vérifiés, soumettez des états non vérifiés équivalents."</f>
        <v>Présentez les états financiers vérifiés pour l'ensemble de l'entreprise pour chaque exercice depuis le 1er janvier 2023. Si votre entreprise ne prépare pas habituellement d’états vérifiés, soumettez des états non vérifiés équivalents.</v>
      </c>
    </row>
    <row r="405" spans="1:16" x14ac:dyDescent="0.35">
      <c r="B405" s="608"/>
      <c r="C405" s="609"/>
      <c r="D405" s="609"/>
      <c r="E405" s="609"/>
      <c r="F405" s="609"/>
      <c r="G405" s="609"/>
      <c r="H405" s="609"/>
      <c r="I405" s="609"/>
      <c r="J405" s="609"/>
      <c r="K405" s="609"/>
      <c r="L405" s="610"/>
      <c r="M405" s="2"/>
    </row>
    <row r="406" spans="1:16" x14ac:dyDescent="0.35">
      <c r="B406" s="175"/>
      <c r="C406" s="176"/>
      <c r="D406" s="176"/>
      <c r="E406" s="176"/>
      <c r="F406" s="176"/>
      <c r="G406" s="176"/>
      <c r="H406" s="176"/>
      <c r="I406" s="176"/>
      <c r="J406" s="176"/>
      <c r="K406" s="176"/>
      <c r="L406" s="177"/>
      <c r="M406" s="2"/>
    </row>
    <row r="407" spans="1:16" s="3" customFormat="1" x14ac:dyDescent="0.35">
      <c r="A407" s="12"/>
      <c r="B407" s="182"/>
      <c r="C407" s="182"/>
      <c r="D407" s="182"/>
      <c r="E407" s="183"/>
      <c r="F407" s="183"/>
      <c r="G407" s="183"/>
      <c r="H407" s="183"/>
      <c r="I407" s="183"/>
      <c r="J407" s="183"/>
      <c r="K407" s="183"/>
      <c r="L407" s="183"/>
      <c r="M407" s="167"/>
    </row>
    <row r="408" spans="1:16" s="156" customFormat="1" x14ac:dyDescent="0.35">
      <c r="A408" s="179"/>
      <c r="B408" s="13"/>
      <c r="C408" s="13"/>
      <c r="D408" s="180"/>
      <c r="E408" s="180"/>
      <c r="F408" s="180"/>
      <c r="G408" s="180"/>
      <c r="H408" s="180"/>
      <c r="I408" s="180"/>
      <c r="J408" s="180"/>
      <c r="K408" s="180"/>
      <c r="L408" s="180"/>
      <c r="N408" s="181"/>
    </row>
    <row r="409" spans="1:16" s="156" customFormat="1" x14ac:dyDescent="0.35">
      <c r="A409" s="179"/>
      <c r="B409" s="13"/>
      <c r="C409" s="13"/>
      <c r="D409" s="180"/>
      <c r="E409" s="180"/>
      <c r="F409" s="180"/>
      <c r="G409" s="180"/>
      <c r="H409" s="180"/>
      <c r="I409" s="180"/>
      <c r="J409" s="180"/>
      <c r="K409" s="180"/>
      <c r="L409" s="180"/>
      <c r="N409" s="181"/>
    </row>
  </sheetData>
  <sheetProtection algorithmName="SHA-512" hashValue="DZo9JJmCDIxQ/xZeekABWJwsnfnoS8PCRCUn9Rm9CTBM4IXTA6G81Mhg1PIkB4wQdBjWPoIUS0DTAX2/wDJyOw==" saltValue="ewPmatTkGniC96R0Sg27Kg==" spinCount="100000" sheet="1" objects="1" scenarios="1" selectLockedCells="1"/>
  <mergeCells count="244">
    <mergeCell ref="B250:F254"/>
    <mergeCell ref="G250:G254"/>
    <mergeCell ref="H250:H254"/>
    <mergeCell ref="I250:I254"/>
    <mergeCell ref="J250:J254"/>
    <mergeCell ref="K250:K254"/>
    <mergeCell ref="B240:F244"/>
    <mergeCell ref="G240:G244"/>
    <mergeCell ref="H240:H244"/>
    <mergeCell ref="I240:I244"/>
    <mergeCell ref="J240:J244"/>
    <mergeCell ref="K240:K244"/>
    <mergeCell ref="B245:F249"/>
    <mergeCell ref="G245:G249"/>
    <mergeCell ref="H245:H249"/>
    <mergeCell ref="I245:I249"/>
    <mergeCell ref="J245:J249"/>
    <mergeCell ref="K245:K249"/>
    <mergeCell ref="H233:H234"/>
    <mergeCell ref="I233:I234"/>
    <mergeCell ref="J233:J234"/>
    <mergeCell ref="K233:K234"/>
    <mergeCell ref="B235:F239"/>
    <mergeCell ref="G235:G239"/>
    <mergeCell ref="H235:H239"/>
    <mergeCell ref="I235:I239"/>
    <mergeCell ref="J235:J239"/>
    <mergeCell ref="K235:K239"/>
    <mergeCell ref="B37:L44"/>
    <mergeCell ref="B198:L198"/>
    <mergeCell ref="B200:L207"/>
    <mergeCell ref="D137:D146"/>
    <mergeCell ref="B147:B156"/>
    <mergeCell ref="I96:I97"/>
    <mergeCell ref="J96:J97"/>
    <mergeCell ref="K96:K97"/>
    <mergeCell ref="H90:H91"/>
    <mergeCell ref="I90:I91"/>
    <mergeCell ref="J90:J91"/>
    <mergeCell ref="K90:K91"/>
    <mergeCell ref="B88:L88"/>
    <mergeCell ref="B179:L179"/>
    <mergeCell ref="I111:I112"/>
    <mergeCell ref="B62:L69"/>
    <mergeCell ref="H96:H97"/>
    <mergeCell ref="B75:L82"/>
    <mergeCell ref="B73:L73"/>
    <mergeCell ref="B86:L87"/>
    <mergeCell ref="H46:H47"/>
    <mergeCell ref="I46:I47"/>
    <mergeCell ref="J46:J47"/>
    <mergeCell ref="B167:B176"/>
    <mergeCell ref="B309:L309"/>
    <mergeCell ref="B316:L316"/>
    <mergeCell ref="B329:L329"/>
    <mergeCell ref="B365:L365"/>
    <mergeCell ref="B402:L402"/>
    <mergeCell ref="B17:L17"/>
    <mergeCell ref="B71:L71"/>
    <mergeCell ref="B84:L84"/>
    <mergeCell ref="B120:L120"/>
    <mergeCell ref="B180:L180"/>
    <mergeCell ref="K209:K210"/>
    <mergeCell ref="B220:E220"/>
    <mergeCell ref="G157:L166"/>
    <mergeCell ref="D269:L276"/>
    <mergeCell ref="B269:C276"/>
    <mergeCell ref="B277:C284"/>
    <mergeCell ref="D277:L284"/>
    <mergeCell ref="D285:L292"/>
    <mergeCell ref="B267:L267"/>
    <mergeCell ref="B285:C292"/>
    <mergeCell ref="B256:L263"/>
    <mergeCell ref="B196:E196"/>
    <mergeCell ref="B382:L389"/>
    <mergeCell ref="B391:L391"/>
    <mergeCell ref="B219:E219"/>
    <mergeCell ref="B218:E218"/>
    <mergeCell ref="G209:G210"/>
    <mergeCell ref="B212:E212"/>
    <mergeCell ref="B213:E213"/>
    <mergeCell ref="B214:E214"/>
    <mergeCell ref="B217:E217"/>
    <mergeCell ref="B222:L222"/>
    <mergeCell ref="B353:C362"/>
    <mergeCell ref="D353:L362"/>
    <mergeCell ref="B311:L311"/>
    <mergeCell ref="B331:L331"/>
    <mergeCell ref="B314:C314"/>
    <mergeCell ref="B308:L308"/>
    <mergeCell ref="B296:L296"/>
    <mergeCell ref="B298:L305"/>
    <mergeCell ref="B320:L327"/>
    <mergeCell ref="B318:L318"/>
    <mergeCell ref="B333:C342"/>
    <mergeCell ref="D333:L342"/>
    <mergeCell ref="B343:C352"/>
    <mergeCell ref="D343:L352"/>
    <mergeCell ref="B265:L265"/>
    <mergeCell ref="B294:L294"/>
    <mergeCell ref="K21:K22"/>
    <mergeCell ref="H21:H22"/>
    <mergeCell ref="I21:I22"/>
    <mergeCell ref="J21:J22"/>
    <mergeCell ref="B21:F22"/>
    <mergeCell ref="G21:G22"/>
    <mergeCell ref="B224:L231"/>
    <mergeCell ref="B233:F234"/>
    <mergeCell ref="G233:G234"/>
    <mergeCell ref="H102:H103"/>
    <mergeCell ref="I102:I103"/>
    <mergeCell ref="J102:J103"/>
    <mergeCell ref="K102:K103"/>
    <mergeCell ref="H111:H112"/>
    <mergeCell ref="C125:C126"/>
    <mergeCell ref="D125:D126"/>
    <mergeCell ref="B182:L183"/>
    <mergeCell ref="B185:F186"/>
    <mergeCell ref="G185:G186"/>
    <mergeCell ref="H185:H186"/>
    <mergeCell ref="I185:I186"/>
    <mergeCell ref="J185:J186"/>
    <mergeCell ref="K185:K186"/>
    <mergeCell ref="D127:D136"/>
    <mergeCell ref="B372:E372"/>
    <mergeCell ref="B373:E373"/>
    <mergeCell ref="B374:E374"/>
    <mergeCell ref="B375:E375"/>
    <mergeCell ref="B376:E376"/>
    <mergeCell ref="B16:L16"/>
    <mergeCell ref="B377:E377"/>
    <mergeCell ref="B378:E378"/>
    <mergeCell ref="B19:L19"/>
    <mergeCell ref="B189:E189"/>
    <mergeCell ref="B190:E190"/>
    <mergeCell ref="B191:E191"/>
    <mergeCell ref="B192:E192"/>
    <mergeCell ref="B193:E193"/>
    <mergeCell ref="B194:E194"/>
    <mergeCell ref="B195:E195"/>
    <mergeCell ref="B209:F210"/>
    <mergeCell ref="H209:H210"/>
    <mergeCell ref="I209:I210"/>
    <mergeCell ref="J209:J210"/>
    <mergeCell ref="B211:E211"/>
    <mergeCell ref="C147:C156"/>
    <mergeCell ref="D167:D176"/>
    <mergeCell ref="D147:D156"/>
    <mergeCell ref="B404:L405"/>
    <mergeCell ref="B393:L400"/>
    <mergeCell ref="B4:L4"/>
    <mergeCell ref="B5:L5"/>
    <mergeCell ref="B6:L6"/>
    <mergeCell ref="B8:L8"/>
    <mergeCell ref="B9:L9"/>
    <mergeCell ref="B10:L10"/>
    <mergeCell ref="B12:L12"/>
    <mergeCell ref="B367:L368"/>
    <mergeCell ref="G370:G371"/>
    <mergeCell ref="H370:H371"/>
    <mergeCell ref="I370:I371"/>
    <mergeCell ref="J370:J371"/>
    <mergeCell ref="K370:K371"/>
    <mergeCell ref="B364:L364"/>
    <mergeCell ref="B13:L13"/>
    <mergeCell ref="B14:L14"/>
    <mergeCell ref="K46:K47"/>
    <mergeCell ref="B60:L60"/>
    <mergeCell ref="B215:E215"/>
    <mergeCell ref="B216:E216"/>
    <mergeCell ref="B187:E187"/>
    <mergeCell ref="B188:E188"/>
    <mergeCell ref="B109:L110"/>
    <mergeCell ref="J111:J112"/>
    <mergeCell ref="K111:K112"/>
    <mergeCell ref="B35:L35"/>
    <mergeCell ref="E127:F136"/>
    <mergeCell ref="B122:L123"/>
    <mergeCell ref="G167:L176"/>
    <mergeCell ref="E125:F126"/>
    <mergeCell ref="E137:F146"/>
    <mergeCell ref="E147:F156"/>
    <mergeCell ref="E157:F166"/>
    <mergeCell ref="E167:F176"/>
    <mergeCell ref="C167:C176"/>
    <mergeCell ref="B157:B166"/>
    <mergeCell ref="C157:C166"/>
    <mergeCell ref="D157:D166"/>
    <mergeCell ref="C127:C136"/>
    <mergeCell ref="B127:B136"/>
    <mergeCell ref="B137:B146"/>
    <mergeCell ref="C137:C146"/>
    <mergeCell ref="G125:L126"/>
    <mergeCell ref="G127:L136"/>
    <mergeCell ref="G137:L146"/>
    <mergeCell ref="G147:L156"/>
    <mergeCell ref="B53:E53"/>
    <mergeCell ref="B55:E55"/>
    <mergeCell ref="B56:E56"/>
    <mergeCell ref="B57:E57"/>
    <mergeCell ref="G102:G103"/>
    <mergeCell ref="B125:B126"/>
    <mergeCell ref="B24:E24"/>
    <mergeCell ref="B25:E25"/>
    <mergeCell ref="B26:E26"/>
    <mergeCell ref="B27:E27"/>
    <mergeCell ref="B28:E28"/>
    <mergeCell ref="B30:E30"/>
    <mergeCell ref="B31:E31"/>
    <mergeCell ref="B32:E32"/>
    <mergeCell ref="B33:E33"/>
    <mergeCell ref="B58:E58"/>
    <mergeCell ref="B106:E106"/>
    <mergeCell ref="B107:E107"/>
    <mergeCell ref="B113:E113"/>
    <mergeCell ref="B114:E114"/>
    <mergeCell ref="B115:E115"/>
    <mergeCell ref="B116:E116"/>
    <mergeCell ref="B117:E117"/>
    <mergeCell ref="B118:E118"/>
    <mergeCell ref="B23:E23"/>
    <mergeCell ref="B29:E29"/>
    <mergeCell ref="B48:E48"/>
    <mergeCell ref="B54:E54"/>
    <mergeCell ref="G111:G112"/>
    <mergeCell ref="G46:G47"/>
    <mergeCell ref="B90:F91"/>
    <mergeCell ref="G90:G91"/>
    <mergeCell ref="B96:F97"/>
    <mergeCell ref="G96:G97"/>
    <mergeCell ref="B102:F103"/>
    <mergeCell ref="B104:E104"/>
    <mergeCell ref="B105:E105"/>
    <mergeCell ref="B92:E92"/>
    <mergeCell ref="B93:E93"/>
    <mergeCell ref="B94:E94"/>
    <mergeCell ref="B98:E98"/>
    <mergeCell ref="B99:E99"/>
    <mergeCell ref="B100:E100"/>
    <mergeCell ref="B46:F47"/>
    <mergeCell ref="B49:E49"/>
    <mergeCell ref="B50:E50"/>
    <mergeCell ref="B51:E51"/>
    <mergeCell ref="B52:E52"/>
  </mergeCells>
  <phoneticPr fontId="18" type="noConversion"/>
  <conditionalFormatting sqref="G235:K237">
    <cfRule type="cellIs" dxfId="1" priority="2" operator="equal">
      <formula>"Error"</formula>
    </cfRule>
  </conditionalFormatting>
  <conditionalFormatting sqref="G240:K242 G245:K247 G250:K253">
    <cfRule type="cellIs" dxfId="0" priority="1"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C167:E167 C137:E137 C147:E147 G167 G137 G147 G157 C157:E157 D269:D271 D277 D285 D287:D288 D343 D353 D279:D280 D333" xr:uid="{F8D8A7E1-1179-4260-93AA-9A622DB12CD0}">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20 B75 B256 B298" xr:uid="{5FC4152B-5ADE-4FEC-B03A-FB21EF47E33C}">
      <formula1>1000</formula1>
    </dataValidation>
    <dataValidation allowBlank="1" showInputMessage="1" showErrorMessage="1" sqref="G48:K48 G58:K58 G33:K33 G54:K54" xr:uid="{C1F52860-EE92-48F0-AFC1-749E3BB6E371}"/>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4:K28 G30:K32 G49:K53 G55:K57 G92:K93 G98:K99 G105:K106 G187:K188 G190:K190 G193:K195 G211:K212 G214:K214 G217:K219 E314:J314 G372:K373 G375:K377" xr:uid="{6AD741CE-5FE8-48E0-A914-A399F0570F1E}">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70" min="1" max="11" man="1"/>
    <brk id="119" min="1" max="11" man="1"/>
    <brk id="178" min="1" max="11" man="1"/>
    <brk id="232" min="1" max="11" man="1"/>
    <brk id="293" min="1" max="11" man="1"/>
    <brk id="328" min="1" max="11" man="1"/>
    <brk id="363"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6176-98CE-473F-9AF9-8B73927B665A}">
  <sheetPr>
    <tabColor rgb="FF92D050"/>
    <pageSetUpPr fitToPage="1"/>
  </sheetPr>
  <dimension ref="A1:S242"/>
  <sheetViews>
    <sheetView showGridLines="0" zoomScaleNormal="100" workbookViewId="0"/>
  </sheetViews>
  <sheetFormatPr defaultColWidth="9.08984375" defaultRowHeight="14" x14ac:dyDescent="0.35"/>
  <cols>
    <col min="1" max="1" width="1.90625" style="12" customWidth="1"/>
    <col min="2" max="12" width="14.54296875" style="19" customWidth="1"/>
    <col min="13" max="13" width="14.54296875" style="1" customWidth="1"/>
    <col min="14" max="14" width="14.54296875" style="2" customWidth="1"/>
    <col min="15" max="16" width="14.54296875" style="2" hidden="1" customWidth="1"/>
    <col min="17" max="17" width="9.08984375" style="2" customWidth="1"/>
    <col min="18" max="16384" width="9.08984375" style="2"/>
  </cols>
  <sheetData>
    <row r="1" spans="1:16" x14ac:dyDescent="0.35">
      <c r="O1" s="2" t="s">
        <v>715</v>
      </c>
      <c r="P1" s="2" t="s">
        <v>715</v>
      </c>
    </row>
    <row r="2" spans="1:16" x14ac:dyDescent="0.35">
      <c r="B2" s="20" t="str">
        <f>'Pro 1'!B2</f>
        <v>PROTÉGÉ</v>
      </c>
      <c r="C2" s="20"/>
      <c r="O2" s="3" t="s">
        <v>164</v>
      </c>
      <c r="P2" s="3" t="s">
        <v>165</v>
      </c>
    </row>
    <row r="3" spans="1:16" x14ac:dyDescent="0.35">
      <c r="B3" s="21"/>
      <c r="C3" s="21"/>
      <c r="O3" s="8"/>
      <c r="P3" s="8"/>
    </row>
    <row r="4" spans="1:16" s="8" customFormat="1" x14ac:dyDescent="0.35">
      <c r="A4" s="13"/>
      <c r="B4" s="614" t="str">
        <f>Info!B4</f>
        <v>QUESTIONNAIRE À L’INTENTION DES PRODUCTEURS</v>
      </c>
      <c r="C4" s="615"/>
      <c r="D4" s="615"/>
      <c r="E4" s="615"/>
      <c r="F4" s="615"/>
      <c r="G4" s="615"/>
      <c r="H4" s="615"/>
      <c r="I4" s="615"/>
      <c r="J4" s="615"/>
      <c r="K4" s="615"/>
      <c r="L4" s="616"/>
      <c r="M4" s="15"/>
      <c r="N4" s="15"/>
      <c r="O4" s="14"/>
      <c r="P4" s="14"/>
    </row>
    <row r="5" spans="1:16" s="8" customFormat="1" x14ac:dyDescent="0.35">
      <c r="A5" s="13"/>
      <c r="B5" s="617" t="str">
        <f>Info!B5</f>
        <v>NQ-2026-003</v>
      </c>
      <c r="C5" s="618"/>
      <c r="D5" s="618"/>
      <c r="E5" s="618"/>
      <c r="F5" s="618"/>
      <c r="G5" s="618"/>
      <c r="H5" s="618"/>
      <c r="I5" s="618"/>
      <c r="J5" s="618"/>
      <c r="K5" s="618"/>
      <c r="L5" s="619"/>
      <c r="M5" s="15"/>
      <c r="N5" s="15"/>
      <c r="O5" s="14"/>
      <c r="P5" s="14"/>
    </row>
    <row r="6" spans="1:16" s="9" customFormat="1" x14ac:dyDescent="0.35">
      <c r="A6" s="13"/>
      <c r="B6" s="617" t="str">
        <f>Info!B6</f>
        <v>CÂBLES DE BÂTIMENTS NON ARMÉS</v>
      </c>
      <c r="C6" s="618"/>
      <c r="D6" s="618"/>
      <c r="E6" s="618"/>
      <c r="F6" s="618"/>
      <c r="G6" s="618"/>
      <c r="H6" s="618"/>
      <c r="I6" s="618"/>
      <c r="J6" s="618"/>
      <c r="K6" s="618"/>
      <c r="L6" s="619"/>
      <c r="M6" s="14"/>
      <c r="N6" s="14"/>
      <c r="O6" s="10"/>
      <c r="P6" s="10"/>
    </row>
    <row r="7" spans="1:16" s="9" customFormat="1" x14ac:dyDescent="0.35">
      <c r="A7" s="13"/>
      <c r="B7" s="242"/>
      <c r="C7" s="28"/>
      <c r="D7" s="28"/>
      <c r="E7" s="28"/>
      <c r="F7" s="28"/>
      <c r="G7" s="28"/>
      <c r="H7" s="28"/>
      <c r="I7" s="28"/>
      <c r="J7" s="28"/>
      <c r="K7" s="28"/>
      <c r="L7" s="243"/>
      <c r="M7" s="14"/>
      <c r="N7" s="14"/>
      <c r="O7" s="5"/>
    </row>
    <row r="8" spans="1:16" s="9" customFormat="1" x14ac:dyDescent="0.35">
      <c r="A8" s="13"/>
      <c r="B8" s="722" t="str">
        <f>Public!B8</f>
        <v>Les questions suivantes font référence aux marchandises comme définies dans la description du produit de l'onglet Intro.</v>
      </c>
      <c r="C8" s="723"/>
      <c r="D8" s="723"/>
      <c r="E8" s="723"/>
      <c r="F8" s="723"/>
      <c r="G8" s="723"/>
      <c r="H8" s="723"/>
      <c r="I8" s="723"/>
      <c r="J8" s="723"/>
      <c r="K8" s="723"/>
      <c r="L8" s="724"/>
      <c r="M8" s="14"/>
      <c r="N8" s="14"/>
      <c r="O8" s="10"/>
      <c r="P8" s="10"/>
    </row>
    <row r="9" spans="1:16" s="9" customFormat="1" x14ac:dyDescent="0.35">
      <c r="A9" s="13"/>
      <c r="B9" s="722" t="str">
        <f>Public!B9</f>
        <v>Des informations sur le produit et un glossaire de termes sont disponibles dans l'onglet Info.</v>
      </c>
      <c r="C9" s="723"/>
      <c r="D9" s="723"/>
      <c r="E9" s="723"/>
      <c r="F9" s="723"/>
      <c r="G9" s="723"/>
      <c r="H9" s="723"/>
      <c r="I9" s="723"/>
      <c r="J9" s="723"/>
      <c r="K9" s="723"/>
      <c r="L9" s="724"/>
      <c r="M9" s="14"/>
      <c r="N9" s="14"/>
      <c r="O9" s="10"/>
    </row>
    <row r="10" spans="1:16" s="9" customFormat="1" x14ac:dyDescent="0.35">
      <c r="A10" s="13"/>
      <c r="B10" s="725" t="str">
        <f>'Pro 1'!B10</f>
        <v xml:space="preserve">Utilisez l'onglet AddPro si vous avez besoin de plus d'espace.
</v>
      </c>
      <c r="C10" s="726"/>
      <c r="D10" s="726"/>
      <c r="E10" s="726"/>
      <c r="F10" s="726"/>
      <c r="G10" s="726"/>
      <c r="H10" s="726"/>
      <c r="I10" s="726"/>
      <c r="J10" s="726"/>
      <c r="K10" s="726"/>
      <c r="L10" s="727"/>
      <c r="M10" s="14"/>
      <c r="N10" s="14"/>
      <c r="O10" s="10"/>
      <c r="P10" s="10"/>
    </row>
    <row r="11" spans="1:16" s="9" customFormat="1" x14ac:dyDescent="0.35">
      <c r="A11" s="13"/>
      <c r="B11" s="22"/>
      <c r="C11" s="22"/>
      <c r="D11" s="23"/>
      <c r="E11" s="23"/>
      <c r="F11" s="23"/>
      <c r="G11" s="23"/>
      <c r="H11" s="23"/>
      <c r="I11" s="23"/>
      <c r="J11" s="23"/>
      <c r="K11" s="23"/>
      <c r="L11" s="23"/>
      <c r="O11" s="10"/>
      <c r="P11" s="10"/>
    </row>
    <row r="12" spans="1:16" x14ac:dyDescent="0.35">
      <c r="B12" s="599" t="str">
        <f>IF(Intro!$G$21="English",O12,P12)</f>
        <v>EFFETS NÉGATIFS DES IMPORTATIONS</v>
      </c>
      <c r="C12" s="600"/>
      <c r="D12" s="600"/>
      <c r="E12" s="600"/>
      <c r="F12" s="600"/>
      <c r="G12" s="600"/>
      <c r="H12" s="600"/>
      <c r="I12" s="600"/>
      <c r="J12" s="600"/>
      <c r="K12" s="600"/>
      <c r="L12" s="601"/>
      <c r="M12" s="2"/>
      <c r="O12" s="2" t="s">
        <v>667</v>
      </c>
      <c r="P12" s="2" t="s">
        <v>668</v>
      </c>
    </row>
    <row r="13" spans="1:16" x14ac:dyDescent="0.35">
      <c r="B13" s="728" t="s">
        <v>20</v>
      </c>
      <c r="C13" s="729"/>
      <c r="D13" s="729"/>
      <c r="E13" s="729"/>
      <c r="F13" s="729"/>
      <c r="G13" s="729"/>
      <c r="H13" s="729"/>
      <c r="I13" s="729"/>
      <c r="J13" s="729"/>
      <c r="K13" s="729"/>
      <c r="L13" s="730"/>
      <c r="M13" s="2"/>
    </row>
    <row r="14" spans="1:16" x14ac:dyDescent="0.35">
      <c r="B14" s="169"/>
      <c r="C14" s="170"/>
      <c r="D14" s="170"/>
      <c r="E14" s="170"/>
      <c r="F14" s="170"/>
      <c r="G14" s="170"/>
      <c r="H14" s="170"/>
      <c r="I14" s="170"/>
      <c r="J14" s="170"/>
      <c r="K14" s="170"/>
      <c r="L14" s="171"/>
      <c r="M14" s="2"/>
    </row>
    <row r="15" spans="1:16" x14ac:dyDescent="0.35">
      <c r="B15" s="602" t="str">
        <f>IF(Intro!$G$21="English",O15,P15)</f>
        <v>Identifiez et expliquez tout effet négatif à l'égard des facteurs suivants en raison de l'importation des marchandises en cause depuis le 1er janvier 2023. Fournissez des pièces justificatives dans la mesure du possible.</v>
      </c>
      <c r="C15" s="603"/>
      <c r="D15" s="603"/>
      <c r="E15" s="603"/>
      <c r="F15" s="603"/>
      <c r="G15" s="603"/>
      <c r="H15" s="603"/>
      <c r="I15" s="603"/>
      <c r="J15" s="603"/>
      <c r="K15" s="603"/>
      <c r="L15" s="604"/>
      <c r="M15" s="2"/>
      <c r="O15" s="2" t="str">
        <f>"Identify and explain any negative effects on any of the following factors due to the imports of the subject goods since January 1, "&amp;Variables!B6&amp;". Provide supporting documents to the extent available."</f>
        <v>Identify and explain any negative effects on any of the following factors due to the imports of the subject goods since January 1, 2023. Provide supporting documents to the extent available.</v>
      </c>
      <c r="P15" s="2" t="str">
        <f>"Identifiez et expliquez tout effet négatif à l'égard des facteurs suivants en raison de l'importation des marchandises en cause depuis le 1er janvier "&amp;Variables!B6&amp;". Fournissez des pièces justificatives dans la mesure du possible."</f>
        <v>Identifiez et expliquez tout effet négatif à l'égard des facteurs suivants en raison de l'importation des marchandises en cause depuis le 1er janvier 2023. Fournissez des pièces justificatives dans la mesure du possible.</v>
      </c>
    </row>
    <row r="16" spans="1:16" x14ac:dyDescent="0.35">
      <c r="B16" s="602"/>
      <c r="C16" s="603"/>
      <c r="D16" s="603"/>
      <c r="E16" s="603"/>
      <c r="F16" s="603"/>
      <c r="G16" s="603"/>
      <c r="H16" s="603"/>
      <c r="I16" s="603"/>
      <c r="J16" s="603"/>
      <c r="K16" s="603"/>
      <c r="L16" s="604"/>
      <c r="M16" s="2"/>
      <c r="O16" s="2" t="s">
        <v>360</v>
      </c>
      <c r="P16" s="2" t="s">
        <v>666</v>
      </c>
    </row>
    <row r="17" spans="2:16" x14ac:dyDescent="0.35">
      <c r="B17" s="169"/>
      <c r="C17" s="170"/>
      <c r="D17" s="170"/>
      <c r="E17" s="170"/>
      <c r="F17" s="170"/>
      <c r="G17" s="170"/>
      <c r="H17" s="170"/>
      <c r="I17" s="170"/>
      <c r="J17" s="170"/>
      <c r="K17" s="170"/>
      <c r="L17" s="171"/>
      <c r="M17" s="2"/>
    </row>
    <row r="18" spans="2:16" x14ac:dyDescent="0.35">
      <c r="B18" s="928" t="str">
        <f>IF(Intro!$G$21="English",O18,P18)</f>
        <v>Rendement du capital investi</v>
      </c>
      <c r="C18" s="929"/>
      <c r="D18" s="626"/>
      <c r="E18" s="626"/>
      <c r="F18" s="626"/>
      <c r="G18" s="626"/>
      <c r="H18" s="626"/>
      <c r="I18" s="626"/>
      <c r="J18" s="626"/>
      <c r="K18" s="626"/>
      <c r="L18" s="627"/>
      <c r="M18" s="2"/>
      <c r="O18" s="11" t="s">
        <v>86</v>
      </c>
      <c r="P18" s="2" t="s">
        <v>87</v>
      </c>
    </row>
    <row r="19" spans="2:16" x14ac:dyDescent="0.35">
      <c r="B19" s="930"/>
      <c r="C19" s="931"/>
      <c r="D19" s="626"/>
      <c r="E19" s="626"/>
      <c r="F19" s="626"/>
      <c r="G19" s="626"/>
      <c r="H19" s="626"/>
      <c r="I19" s="626"/>
      <c r="J19" s="626"/>
      <c r="K19" s="626"/>
      <c r="L19" s="627"/>
      <c r="M19" s="2"/>
      <c r="O19" s="11"/>
    </row>
    <row r="20" spans="2:16" x14ac:dyDescent="0.35">
      <c r="B20" s="930"/>
      <c r="C20" s="931"/>
      <c r="D20" s="626"/>
      <c r="E20" s="626"/>
      <c r="F20" s="626"/>
      <c r="G20" s="626"/>
      <c r="H20" s="626"/>
      <c r="I20" s="626"/>
      <c r="J20" s="626"/>
      <c r="K20" s="626"/>
      <c r="L20" s="627"/>
      <c r="M20" s="2"/>
      <c r="O20" s="11"/>
    </row>
    <row r="21" spans="2:16" x14ac:dyDescent="0.35">
      <c r="B21" s="932" t="str">
        <f>IF(Intro!$G$21="English",$O$16,$P$16)</f>
        <v>Sélectionnez oui ou non</v>
      </c>
      <c r="C21" s="933"/>
      <c r="D21" s="626"/>
      <c r="E21" s="626"/>
      <c r="F21" s="626"/>
      <c r="G21" s="626"/>
      <c r="H21" s="626"/>
      <c r="I21" s="626"/>
      <c r="J21" s="626"/>
      <c r="K21" s="626"/>
      <c r="L21" s="627"/>
      <c r="M21" s="2"/>
      <c r="O21" s="11"/>
    </row>
    <row r="22" spans="2:16" x14ac:dyDescent="0.35">
      <c r="B22" s="934"/>
      <c r="C22" s="935"/>
      <c r="D22" s="626"/>
      <c r="E22" s="626"/>
      <c r="F22" s="626"/>
      <c r="G22" s="626"/>
      <c r="H22" s="626"/>
      <c r="I22" s="626"/>
      <c r="J22" s="626"/>
      <c r="K22" s="626"/>
      <c r="L22" s="627"/>
      <c r="M22" s="2"/>
      <c r="O22" s="11"/>
    </row>
    <row r="23" spans="2:16" x14ac:dyDescent="0.35">
      <c r="B23" s="936"/>
      <c r="C23" s="937"/>
      <c r="D23" s="626"/>
      <c r="E23" s="626"/>
      <c r="F23" s="626"/>
      <c r="G23" s="626"/>
      <c r="H23" s="626"/>
      <c r="I23" s="626"/>
      <c r="J23" s="626"/>
      <c r="K23" s="626"/>
      <c r="L23" s="627"/>
      <c r="M23" s="2"/>
      <c r="O23" s="11"/>
    </row>
    <row r="24" spans="2:16" x14ac:dyDescent="0.35">
      <c r="B24" s="938"/>
      <c r="C24" s="939"/>
      <c r="D24" s="626"/>
      <c r="E24" s="626"/>
      <c r="F24" s="626"/>
      <c r="G24" s="626"/>
      <c r="H24" s="626"/>
      <c r="I24" s="626"/>
      <c r="J24" s="626"/>
      <c r="K24" s="626"/>
      <c r="L24" s="627"/>
      <c r="M24" s="2"/>
      <c r="O24" s="11"/>
    </row>
    <row r="25" spans="2:16" x14ac:dyDescent="0.35">
      <c r="B25" s="938"/>
      <c r="C25" s="939"/>
      <c r="D25" s="626"/>
      <c r="E25" s="626"/>
      <c r="F25" s="626"/>
      <c r="G25" s="626"/>
      <c r="H25" s="626"/>
      <c r="I25" s="626"/>
      <c r="J25" s="626"/>
      <c r="K25" s="626"/>
      <c r="L25" s="627"/>
      <c r="M25" s="2"/>
      <c r="O25" s="11"/>
    </row>
    <row r="26" spans="2:16" x14ac:dyDescent="0.35">
      <c r="B26" s="938"/>
      <c r="C26" s="939"/>
      <c r="D26" s="626"/>
      <c r="E26" s="626"/>
      <c r="F26" s="626"/>
      <c r="G26" s="626"/>
      <c r="H26" s="626"/>
      <c r="I26" s="626"/>
      <c r="J26" s="626"/>
      <c r="K26" s="626"/>
      <c r="L26" s="627"/>
      <c r="M26" s="2"/>
      <c r="O26" s="11"/>
    </row>
    <row r="27" spans="2:16" x14ac:dyDescent="0.35">
      <c r="B27" s="932"/>
      <c r="C27" s="933"/>
      <c r="D27" s="626"/>
      <c r="E27" s="626"/>
      <c r="F27" s="626"/>
      <c r="G27" s="626"/>
      <c r="H27" s="626"/>
      <c r="I27" s="626"/>
      <c r="J27" s="626"/>
      <c r="K27" s="626"/>
      <c r="L27" s="627"/>
      <c r="M27" s="2"/>
      <c r="O27" s="11"/>
    </row>
    <row r="28" spans="2:16" x14ac:dyDescent="0.35">
      <c r="B28" s="928" t="str">
        <f>IF(Intro!$G$21="English",O28,P28)</f>
        <v>Croissance</v>
      </c>
      <c r="C28" s="929"/>
      <c r="D28" s="626"/>
      <c r="E28" s="626"/>
      <c r="F28" s="626"/>
      <c r="G28" s="626"/>
      <c r="H28" s="626"/>
      <c r="I28" s="626"/>
      <c r="J28" s="626"/>
      <c r="K28" s="626"/>
      <c r="L28" s="627"/>
      <c r="M28" s="2"/>
      <c r="O28" s="11" t="s">
        <v>88</v>
      </c>
      <c r="P28" s="11" t="s">
        <v>89</v>
      </c>
    </row>
    <row r="29" spans="2:16" x14ac:dyDescent="0.35">
      <c r="B29" s="930"/>
      <c r="C29" s="931"/>
      <c r="D29" s="626"/>
      <c r="E29" s="626"/>
      <c r="F29" s="626"/>
      <c r="G29" s="626"/>
      <c r="H29" s="626"/>
      <c r="I29" s="626"/>
      <c r="J29" s="626"/>
      <c r="K29" s="626"/>
      <c r="L29" s="627"/>
      <c r="M29" s="2"/>
    </row>
    <row r="30" spans="2:16" x14ac:dyDescent="0.35">
      <c r="B30" s="930"/>
      <c r="C30" s="931"/>
      <c r="D30" s="626"/>
      <c r="E30" s="626"/>
      <c r="F30" s="626"/>
      <c r="G30" s="626"/>
      <c r="H30" s="626"/>
      <c r="I30" s="626"/>
      <c r="J30" s="626"/>
      <c r="K30" s="626"/>
      <c r="L30" s="627"/>
      <c r="M30" s="2"/>
    </row>
    <row r="31" spans="2:16" x14ac:dyDescent="0.35">
      <c r="B31" s="932" t="str">
        <f>IF(Intro!$G$21="English",$O$16,$P$16)</f>
        <v>Sélectionnez oui ou non</v>
      </c>
      <c r="C31" s="933"/>
      <c r="D31" s="626"/>
      <c r="E31" s="626"/>
      <c r="F31" s="626"/>
      <c r="G31" s="626"/>
      <c r="H31" s="626"/>
      <c r="I31" s="626"/>
      <c r="J31" s="626"/>
      <c r="K31" s="626"/>
      <c r="L31" s="627"/>
      <c r="M31" s="2"/>
    </row>
    <row r="32" spans="2:16" x14ac:dyDescent="0.35">
      <c r="B32" s="934"/>
      <c r="C32" s="935"/>
      <c r="D32" s="626"/>
      <c r="E32" s="626"/>
      <c r="F32" s="626"/>
      <c r="G32" s="626"/>
      <c r="H32" s="626"/>
      <c r="I32" s="626"/>
      <c r="J32" s="626"/>
      <c r="K32" s="626"/>
      <c r="L32" s="627"/>
      <c r="M32" s="2"/>
    </row>
    <row r="33" spans="2:16" x14ac:dyDescent="0.35">
      <c r="B33" s="936"/>
      <c r="C33" s="937"/>
      <c r="D33" s="626"/>
      <c r="E33" s="626"/>
      <c r="F33" s="626"/>
      <c r="G33" s="626"/>
      <c r="H33" s="626"/>
      <c r="I33" s="626"/>
      <c r="J33" s="626"/>
      <c r="K33" s="626"/>
      <c r="L33" s="627"/>
      <c r="M33" s="2"/>
      <c r="O33" s="11"/>
    </row>
    <row r="34" spans="2:16" x14ac:dyDescent="0.35">
      <c r="B34" s="938"/>
      <c r="C34" s="939"/>
      <c r="D34" s="626"/>
      <c r="E34" s="626"/>
      <c r="F34" s="626"/>
      <c r="G34" s="626"/>
      <c r="H34" s="626"/>
      <c r="I34" s="626"/>
      <c r="J34" s="626"/>
      <c r="K34" s="626"/>
      <c r="L34" s="627"/>
      <c r="M34" s="2"/>
      <c r="O34" s="11"/>
    </row>
    <row r="35" spans="2:16" x14ac:dyDescent="0.35">
      <c r="B35" s="938"/>
      <c r="C35" s="939"/>
      <c r="D35" s="626"/>
      <c r="E35" s="626"/>
      <c r="F35" s="626"/>
      <c r="G35" s="626"/>
      <c r="H35" s="626"/>
      <c r="I35" s="626"/>
      <c r="J35" s="626"/>
      <c r="K35" s="626"/>
      <c r="L35" s="627"/>
      <c r="M35" s="2"/>
      <c r="O35" s="11"/>
    </row>
    <row r="36" spans="2:16" x14ac:dyDescent="0.35">
      <c r="B36" s="938"/>
      <c r="C36" s="939"/>
      <c r="D36" s="626"/>
      <c r="E36" s="626"/>
      <c r="F36" s="626"/>
      <c r="G36" s="626"/>
      <c r="H36" s="626"/>
      <c r="I36" s="626"/>
      <c r="J36" s="626"/>
      <c r="K36" s="626"/>
      <c r="L36" s="627"/>
      <c r="M36" s="2"/>
      <c r="O36" s="11"/>
    </row>
    <row r="37" spans="2:16" x14ac:dyDescent="0.35">
      <c r="B37" s="932"/>
      <c r="C37" s="933"/>
      <c r="D37" s="626"/>
      <c r="E37" s="626"/>
      <c r="F37" s="626"/>
      <c r="G37" s="626"/>
      <c r="H37" s="626"/>
      <c r="I37" s="626"/>
      <c r="J37" s="626"/>
      <c r="K37" s="626"/>
      <c r="L37" s="627"/>
      <c r="M37" s="2"/>
    </row>
    <row r="38" spans="2:16" x14ac:dyDescent="0.35">
      <c r="B38" s="928" t="str">
        <f>IF(Intro!$G$21="English",O38,P38)</f>
        <v>Capacité de réunir des capitaux</v>
      </c>
      <c r="C38" s="929"/>
      <c r="D38" s="626"/>
      <c r="E38" s="626"/>
      <c r="F38" s="626"/>
      <c r="G38" s="626"/>
      <c r="H38" s="626"/>
      <c r="I38" s="626"/>
      <c r="J38" s="626"/>
      <c r="K38" s="626"/>
      <c r="L38" s="627"/>
      <c r="M38" s="2"/>
      <c r="O38" s="11" t="s">
        <v>90</v>
      </c>
      <c r="P38" s="11" t="s">
        <v>91</v>
      </c>
    </row>
    <row r="39" spans="2:16" x14ac:dyDescent="0.35">
      <c r="B39" s="930"/>
      <c r="C39" s="931"/>
      <c r="D39" s="626"/>
      <c r="E39" s="626"/>
      <c r="F39" s="626"/>
      <c r="G39" s="626"/>
      <c r="H39" s="626"/>
      <c r="I39" s="626"/>
      <c r="J39" s="626"/>
      <c r="K39" s="626"/>
      <c r="L39" s="627"/>
      <c r="M39" s="2"/>
    </row>
    <row r="40" spans="2:16" x14ac:dyDescent="0.35">
      <c r="B40" s="930"/>
      <c r="C40" s="931"/>
      <c r="D40" s="626"/>
      <c r="E40" s="626"/>
      <c r="F40" s="626"/>
      <c r="G40" s="626"/>
      <c r="H40" s="626"/>
      <c r="I40" s="626"/>
      <c r="J40" s="626"/>
      <c r="K40" s="626"/>
      <c r="L40" s="627"/>
      <c r="M40" s="2"/>
    </row>
    <row r="41" spans="2:16" x14ac:dyDescent="0.35">
      <c r="B41" s="932" t="str">
        <f>IF(Intro!$G$21="English",$O$16,$P$16)</f>
        <v>Sélectionnez oui ou non</v>
      </c>
      <c r="C41" s="933"/>
      <c r="D41" s="626"/>
      <c r="E41" s="626"/>
      <c r="F41" s="626"/>
      <c r="G41" s="626"/>
      <c r="H41" s="626"/>
      <c r="I41" s="626"/>
      <c r="J41" s="626"/>
      <c r="K41" s="626"/>
      <c r="L41" s="627"/>
      <c r="M41" s="2"/>
    </row>
    <row r="42" spans="2:16" x14ac:dyDescent="0.35">
      <c r="B42" s="934"/>
      <c r="C42" s="935"/>
      <c r="D42" s="626"/>
      <c r="E42" s="626"/>
      <c r="F42" s="626"/>
      <c r="G42" s="626"/>
      <c r="H42" s="626"/>
      <c r="I42" s="626"/>
      <c r="J42" s="626"/>
      <c r="K42" s="626"/>
      <c r="L42" s="627"/>
      <c r="M42" s="2"/>
      <c r="O42" s="11"/>
    </row>
    <row r="43" spans="2:16" x14ac:dyDescent="0.35">
      <c r="B43" s="936"/>
      <c r="C43" s="937"/>
      <c r="D43" s="626"/>
      <c r="E43" s="626"/>
      <c r="F43" s="626"/>
      <c r="G43" s="626"/>
      <c r="H43" s="626"/>
      <c r="I43" s="626"/>
      <c r="J43" s="626"/>
      <c r="K43" s="626"/>
      <c r="L43" s="627"/>
      <c r="M43" s="2"/>
      <c r="O43" s="11"/>
    </row>
    <row r="44" spans="2:16" x14ac:dyDescent="0.35">
      <c r="B44" s="938"/>
      <c r="C44" s="939"/>
      <c r="D44" s="626"/>
      <c r="E44" s="626"/>
      <c r="F44" s="626"/>
      <c r="G44" s="626"/>
      <c r="H44" s="626"/>
      <c r="I44" s="626"/>
      <c r="J44" s="626"/>
      <c r="K44" s="626"/>
      <c r="L44" s="627"/>
      <c r="M44" s="2"/>
      <c r="O44" s="11"/>
    </row>
    <row r="45" spans="2:16" x14ac:dyDescent="0.35">
      <c r="B45" s="938"/>
      <c r="C45" s="939"/>
      <c r="D45" s="626"/>
      <c r="E45" s="626"/>
      <c r="F45" s="626"/>
      <c r="G45" s="626"/>
      <c r="H45" s="626"/>
      <c r="I45" s="626"/>
      <c r="J45" s="626"/>
      <c r="K45" s="626"/>
      <c r="L45" s="627"/>
      <c r="M45" s="2"/>
      <c r="O45" s="11"/>
    </row>
    <row r="46" spans="2:16" x14ac:dyDescent="0.35">
      <c r="B46" s="938"/>
      <c r="C46" s="939"/>
      <c r="D46" s="626"/>
      <c r="E46" s="626"/>
      <c r="F46" s="626"/>
      <c r="G46" s="626"/>
      <c r="H46" s="626"/>
      <c r="I46" s="626"/>
      <c r="J46" s="626"/>
      <c r="K46" s="626"/>
      <c r="L46" s="627"/>
      <c r="M46" s="2"/>
      <c r="O46" s="11"/>
    </row>
    <row r="47" spans="2:16" x14ac:dyDescent="0.35">
      <c r="B47" s="932"/>
      <c r="C47" s="933"/>
      <c r="D47" s="626"/>
      <c r="E47" s="626"/>
      <c r="F47" s="626"/>
      <c r="G47" s="626"/>
      <c r="H47" s="626"/>
      <c r="I47" s="626"/>
      <c r="J47" s="626"/>
      <c r="K47" s="626"/>
      <c r="L47" s="627"/>
      <c r="M47" s="2"/>
      <c r="O47" s="11"/>
    </row>
    <row r="48" spans="2:16" x14ac:dyDescent="0.35">
      <c r="B48" s="928" t="str">
        <f>IF(Intro!$G$21="English",O48,P48)</f>
        <v xml:space="preserve">Projets de développement de la production </v>
      </c>
      <c r="C48" s="929"/>
      <c r="D48" s="626"/>
      <c r="E48" s="626"/>
      <c r="F48" s="626"/>
      <c r="G48" s="626"/>
      <c r="H48" s="626"/>
      <c r="I48" s="626"/>
      <c r="J48" s="626"/>
      <c r="K48" s="626"/>
      <c r="L48" s="627"/>
      <c r="M48" s="2"/>
      <c r="O48" s="11" t="s">
        <v>92</v>
      </c>
      <c r="P48" s="11" t="s">
        <v>93</v>
      </c>
    </row>
    <row r="49" spans="2:16" x14ac:dyDescent="0.35">
      <c r="B49" s="930"/>
      <c r="C49" s="931"/>
      <c r="D49" s="626"/>
      <c r="E49" s="626"/>
      <c r="F49" s="626"/>
      <c r="G49" s="626"/>
      <c r="H49" s="626"/>
      <c r="I49" s="626"/>
      <c r="J49" s="626"/>
      <c r="K49" s="626"/>
      <c r="L49" s="627"/>
      <c r="M49" s="2"/>
      <c r="O49" s="11"/>
    </row>
    <row r="50" spans="2:16" x14ac:dyDescent="0.35">
      <c r="B50" s="930"/>
      <c r="C50" s="931"/>
      <c r="D50" s="626"/>
      <c r="E50" s="626"/>
      <c r="F50" s="626"/>
      <c r="G50" s="626"/>
      <c r="H50" s="626"/>
      <c r="I50" s="626"/>
      <c r="J50" s="626"/>
      <c r="K50" s="626"/>
      <c r="L50" s="627"/>
      <c r="M50" s="2"/>
      <c r="O50" s="11"/>
    </row>
    <row r="51" spans="2:16" x14ac:dyDescent="0.35">
      <c r="B51" s="932" t="str">
        <f>IF(Intro!$G$21="English",$O$16,$P$16)</f>
        <v>Sélectionnez oui ou non</v>
      </c>
      <c r="C51" s="933"/>
      <c r="D51" s="626"/>
      <c r="E51" s="626"/>
      <c r="F51" s="626"/>
      <c r="G51" s="626"/>
      <c r="H51" s="626"/>
      <c r="I51" s="626"/>
      <c r="J51" s="626"/>
      <c r="K51" s="626"/>
      <c r="L51" s="627"/>
      <c r="M51" s="2"/>
      <c r="O51" s="11"/>
    </row>
    <row r="52" spans="2:16" x14ac:dyDescent="0.35">
      <c r="B52" s="934"/>
      <c r="C52" s="935"/>
      <c r="D52" s="626"/>
      <c r="E52" s="626"/>
      <c r="F52" s="626"/>
      <c r="G52" s="626"/>
      <c r="H52" s="626"/>
      <c r="I52" s="626"/>
      <c r="J52" s="626"/>
      <c r="K52" s="626"/>
      <c r="L52" s="627"/>
      <c r="M52" s="2"/>
      <c r="O52" s="11"/>
    </row>
    <row r="53" spans="2:16" x14ac:dyDescent="0.35">
      <c r="B53" s="936"/>
      <c r="C53" s="937"/>
      <c r="D53" s="626"/>
      <c r="E53" s="626"/>
      <c r="F53" s="626"/>
      <c r="G53" s="626"/>
      <c r="H53" s="626"/>
      <c r="I53" s="626"/>
      <c r="J53" s="626"/>
      <c r="K53" s="626"/>
      <c r="L53" s="627"/>
      <c r="M53" s="2"/>
      <c r="O53" s="11"/>
    </row>
    <row r="54" spans="2:16" x14ac:dyDescent="0.35">
      <c r="B54" s="938"/>
      <c r="C54" s="939"/>
      <c r="D54" s="626"/>
      <c r="E54" s="626"/>
      <c r="F54" s="626"/>
      <c r="G54" s="626"/>
      <c r="H54" s="626"/>
      <c r="I54" s="626"/>
      <c r="J54" s="626"/>
      <c r="K54" s="626"/>
      <c r="L54" s="627"/>
      <c r="M54" s="2"/>
      <c r="O54" s="11"/>
    </row>
    <row r="55" spans="2:16" x14ac:dyDescent="0.35">
      <c r="B55" s="938"/>
      <c r="C55" s="939"/>
      <c r="D55" s="626"/>
      <c r="E55" s="626"/>
      <c r="F55" s="626"/>
      <c r="G55" s="626"/>
      <c r="H55" s="626"/>
      <c r="I55" s="626"/>
      <c r="J55" s="626"/>
      <c r="K55" s="626"/>
      <c r="L55" s="627"/>
      <c r="M55" s="2"/>
      <c r="O55" s="11"/>
    </row>
    <row r="56" spans="2:16" x14ac:dyDescent="0.35">
      <c r="B56" s="938"/>
      <c r="C56" s="939"/>
      <c r="D56" s="626"/>
      <c r="E56" s="626"/>
      <c r="F56" s="626"/>
      <c r="G56" s="626"/>
      <c r="H56" s="626"/>
      <c r="I56" s="626"/>
      <c r="J56" s="626"/>
      <c r="K56" s="626"/>
      <c r="L56" s="627"/>
      <c r="M56" s="2"/>
      <c r="O56" s="11"/>
    </row>
    <row r="57" spans="2:16" x14ac:dyDescent="0.35">
      <c r="B57" s="932"/>
      <c r="C57" s="933"/>
      <c r="D57" s="626"/>
      <c r="E57" s="626"/>
      <c r="F57" s="626"/>
      <c r="G57" s="626"/>
      <c r="H57" s="626"/>
      <c r="I57" s="626"/>
      <c r="J57" s="626"/>
      <c r="K57" s="626"/>
      <c r="L57" s="627"/>
      <c r="M57" s="2"/>
      <c r="O57" s="11"/>
    </row>
    <row r="58" spans="2:16" x14ac:dyDescent="0.35">
      <c r="B58" s="928" t="str">
        <f>IF(Intro!$G$21="English",O58,P58)</f>
        <v>Les niveaux d’emploi de votre entreprise</v>
      </c>
      <c r="C58" s="929"/>
      <c r="D58" s="626"/>
      <c r="E58" s="626"/>
      <c r="F58" s="626"/>
      <c r="G58" s="626"/>
      <c r="H58" s="626"/>
      <c r="I58" s="626"/>
      <c r="J58" s="626"/>
      <c r="K58" s="626"/>
      <c r="L58" s="627"/>
      <c r="M58" s="2"/>
      <c r="O58" s="11" t="s">
        <v>296</v>
      </c>
      <c r="P58" s="11" t="s">
        <v>297</v>
      </c>
    </row>
    <row r="59" spans="2:16" x14ac:dyDescent="0.35">
      <c r="B59" s="930"/>
      <c r="C59" s="931"/>
      <c r="D59" s="626"/>
      <c r="E59" s="626"/>
      <c r="F59" s="626"/>
      <c r="G59" s="626"/>
      <c r="H59" s="626"/>
      <c r="I59" s="626"/>
      <c r="J59" s="626"/>
      <c r="K59" s="626"/>
      <c r="L59" s="627"/>
      <c r="M59" s="2"/>
      <c r="O59" s="11"/>
    </row>
    <row r="60" spans="2:16" x14ac:dyDescent="0.35">
      <c r="B60" s="930"/>
      <c r="C60" s="931"/>
      <c r="D60" s="626"/>
      <c r="E60" s="626"/>
      <c r="F60" s="626"/>
      <c r="G60" s="626"/>
      <c r="H60" s="626"/>
      <c r="I60" s="626"/>
      <c r="J60" s="626"/>
      <c r="K60" s="626"/>
      <c r="L60" s="627"/>
      <c r="M60" s="2"/>
      <c r="O60" s="11"/>
    </row>
    <row r="61" spans="2:16" x14ac:dyDescent="0.35">
      <c r="B61" s="932" t="str">
        <f>IF(Intro!$G$21="English",$O$16,$P$16)</f>
        <v>Sélectionnez oui ou non</v>
      </c>
      <c r="C61" s="933"/>
      <c r="D61" s="626"/>
      <c r="E61" s="626"/>
      <c r="F61" s="626"/>
      <c r="G61" s="626"/>
      <c r="H61" s="626"/>
      <c r="I61" s="626"/>
      <c r="J61" s="626"/>
      <c r="K61" s="626"/>
      <c r="L61" s="627"/>
      <c r="M61" s="2"/>
      <c r="O61" s="11"/>
    </row>
    <row r="62" spans="2:16" x14ac:dyDescent="0.35">
      <c r="B62" s="934"/>
      <c r="C62" s="935"/>
      <c r="D62" s="626"/>
      <c r="E62" s="626"/>
      <c r="F62" s="626"/>
      <c r="G62" s="626"/>
      <c r="H62" s="626"/>
      <c r="I62" s="626"/>
      <c r="J62" s="626"/>
      <c r="K62" s="626"/>
      <c r="L62" s="627"/>
      <c r="M62" s="2"/>
      <c r="O62" s="11"/>
    </row>
    <row r="63" spans="2:16" x14ac:dyDescent="0.35">
      <c r="B63" s="936"/>
      <c r="C63" s="937"/>
      <c r="D63" s="626"/>
      <c r="E63" s="626"/>
      <c r="F63" s="626"/>
      <c r="G63" s="626"/>
      <c r="H63" s="626"/>
      <c r="I63" s="626"/>
      <c r="J63" s="626"/>
      <c r="K63" s="626"/>
      <c r="L63" s="627"/>
      <c r="M63" s="2"/>
      <c r="O63" s="11"/>
    </row>
    <row r="64" spans="2:16" x14ac:dyDescent="0.35">
      <c r="B64" s="938"/>
      <c r="C64" s="939"/>
      <c r="D64" s="626"/>
      <c r="E64" s="626"/>
      <c r="F64" s="626"/>
      <c r="G64" s="626"/>
      <c r="H64" s="626"/>
      <c r="I64" s="626"/>
      <c r="J64" s="626"/>
      <c r="K64" s="626"/>
      <c r="L64" s="627"/>
      <c r="M64" s="2"/>
      <c r="O64" s="11"/>
    </row>
    <row r="65" spans="2:16" x14ac:dyDescent="0.35">
      <c r="B65" s="938"/>
      <c r="C65" s="939"/>
      <c r="D65" s="626"/>
      <c r="E65" s="626"/>
      <c r="F65" s="626"/>
      <c r="G65" s="626"/>
      <c r="H65" s="626"/>
      <c r="I65" s="626"/>
      <c r="J65" s="626"/>
      <c r="K65" s="626"/>
      <c r="L65" s="627"/>
      <c r="M65" s="2"/>
      <c r="O65" s="11"/>
    </row>
    <row r="66" spans="2:16" x14ac:dyDescent="0.35">
      <c r="B66" s="938"/>
      <c r="C66" s="939"/>
      <c r="D66" s="626"/>
      <c r="E66" s="626"/>
      <c r="F66" s="626"/>
      <c r="G66" s="626"/>
      <c r="H66" s="626"/>
      <c r="I66" s="626"/>
      <c r="J66" s="626"/>
      <c r="K66" s="626"/>
      <c r="L66" s="627"/>
      <c r="M66" s="2"/>
      <c r="O66" s="11"/>
    </row>
    <row r="67" spans="2:16" x14ac:dyDescent="0.35">
      <c r="B67" s="932"/>
      <c r="C67" s="933"/>
      <c r="D67" s="626"/>
      <c r="E67" s="626"/>
      <c r="F67" s="626"/>
      <c r="G67" s="626"/>
      <c r="H67" s="626"/>
      <c r="I67" s="626"/>
      <c r="J67" s="626"/>
      <c r="K67" s="626"/>
      <c r="L67" s="627"/>
      <c r="M67" s="2"/>
      <c r="O67" s="11"/>
    </row>
    <row r="68" spans="2:16" x14ac:dyDescent="0.35">
      <c r="B68" s="928" t="str">
        <f>IF(Intro!$G$21="English",O68,P68)</f>
        <v>Les salaires de vos employés</v>
      </c>
      <c r="C68" s="929"/>
      <c r="D68" s="626"/>
      <c r="E68" s="626"/>
      <c r="F68" s="626"/>
      <c r="G68" s="626"/>
      <c r="H68" s="626"/>
      <c r="I68" s="626"/>
      <c r="J68" s="626"/>
      <c r="K68" s="626"/>
      <c r="L68" s="627"/>
      <c r="M68" s="2"/>
      <c r="O68" s="11" t="s">
        <v>298</v>
      </c>
      <c r="P68" s="11" t="s">
        <v>299</v>
      </c>
    </row>
    <row r="69" spans="2:16" x14ac:dyDescent="0.35">
      <c r="B69" s="930"/>
      <c r="C69" s="931"/>
      <c r="D69" s="626"/>
      <c r="E69" s="626"/>
      <c r="F69" s="626"/>
      <c r="G69" s="626"/>
      <c r="H69" s="626"/>
      <c r="I69" s="626"/>
      <c r="J69" s="626"/>
      <c r="K69" s="626"/>
      <c r="L69" s="627"/>
      <c r="M69" s="2"/>
      <c r="O69" s="11"/>
    </row>
    <row r="70" spans="2:16" x14ac:dyDescent="0.35">
      <c r="B70" s="930"/>
      <c r="C70" s="931"/>
      <c r="D70" s="626"/>
      <c r="E70" s="626"/>
      <c r="F70" s="626"/>
      <c r="G70" s="626"/>
      <c r="H70" s="626"/>
      <c r="I70" s="626"/>
      <c r="J70" s="626"/>
      <c r="K70" s="626"/>
      <c r="L70" s="627"/>
      <c r="M70" s="2"/>
      <c r="O70" s="11"/>
    </row>
    <row r="71" spans="2:16" x14ac:dyDescent="0.35">
      <c r="B71" s="932" t="str">
        <f>IF(Intro!$G$21="English",$O$16,$P$16)</f>
        <v>Sélectionnez oui ou non</v>
      </c>
      <c r="C71" s="933"/>
      <c r="D71" s="626"/>
      <c r="E71" s="626"/>
      <c r="F71" s="626"/>
      <c r="G71" s="626"/>
      <c r="H71" s="626"/>
      <c r="I71" s="626"/>
      <c r="J71" s="626"/>
      <c r="K71" s="626"/>
      <c r="L71" s="627"/>
      <c r="M71" s="2"/>
      <c r="O71" s="11"/>
    </row>
    <row r="72" spans="2:16" x14ac:dyDescent="0.35">
      <c r="B72" s="934"/>
      <c r="C72" s="935"/>
      <c r="D72" s="626"/>
      <c r="E72" s="626"/>
      <c r="F72" s="626"/>
      <c r="G72" s="626"/>
      <c r="H72" s="626"/>
      <c r="I72" s="626"/>
      <c r="J72" s="626"/>
      <c r="K72" s="626"/>
      <c r="L72" s="627"/>
      <c r="M72" s="2"/>
      <c r="O72" s="11"/>
    </row>
    <row r="73" spans="2:16" x14ac:dyDescent="0.35">
      <c r="B73" s="936"/>
      <c r="C73" s="937"/>
      <c r="D73" s="626"/>
      <c r="E73" s="626"/>
      <c r="F73" s="626"/>
      <c r="G73" s="626"/>
      <c r="H73" s="626"/>
      <c r="I73" s="626"/>
      <c r="J73" s="626"/>
      <c r="K73" s="626"/>
      <c r="L73" s="627"/>
      <c r="M73" s="2"/>
      <c r="O73" s="11"/>
    </row>
    <row r="74" spans="2:16" x14ac:dyDescent="0.35">
      <c r="B74" s="938"/>
      <c r="C74" s="939"/>
      <c r="D74" s="626"/>
      <c r="E74" s="626"/>
      <c r="F74" s="626"/>
      <c r="G74" s="626"/>
      <c r="H74" s="626"/>
      <c r="I74" s="626"/>
      <c r="J74" s="626"/>
      <c r="K74" s="626"/>
      <c r="L74" s="627"/>
      <c r="M74" s="2"/>
      <c r="O74" s="11"/>
    </row>
    <row r="75" spans="2:16" x14ac:dyDescent="0.35">
      <c r="B75" s="938"/>
      <c r="C75" s="939"/>
      <c r="D75" s="626"/>
      <c r="E75" s="626"/>
      <c r="F75" s="626"/>
      <c r="G75" s="626"/>
      <c r="H75" s="626"/>
      <c r="I75" s="626"/>
      <c r="J75" s="626"/>
      <c r="K75" s="626"/>
      <c r="L75" s="627"/>
      <c r="M75" s="2"/>
      <c r="O75" s="11"/>
    </row>
    <row r="76" spans="2:16" x14ac:dyDescent="0.35">
      <c r="B76" s="938"/>
      <c r="C76" s="939"/>
      <c r="D76" s="626"/>
      <c r="E76" s="626"/>
      <c r="F76" s="626"/>
      <c r="G76" s="626"/>
      <c r="H76" s="626"/>
      <c r="I76" s="626"/>
      <c r="J76" s="626"/>
      <c r="K76" s="626"/>
      <c r="L76" s="627"/>
      <c r="M76" s="2"/>
      <c r="O76" s="11"/>
    </row>
    <row r="77" spans="2:16" x14ac:dyDescent="0.35">
      <c r="B77" s="932"/>
      <c r="C77" s="933"/>
      <c r="D77" s="626"/>
      <c r="E77" s="626"/>
      <c r="F77" s="626"/>
      <c r="G77" s="626"/>
      <c r="H77" s="626"/>
      <c r="I77" s="626"/>
      <c r="J77" s="626"/>
      <c r="K77" s="626"/>
      <c r="L77" s="627"/>
      <c r="M77" s="2"/>
      <c r="O77" s="11"/>
    </row>
    <row r="78" spans="2:16" x14ac:dyDescent="0.35">
      <c r="B78" s="928" t="str">
        <f>IF(Intro!$G$21="English",O78,P78)</f>
        <v>Le nombre d’heures de travail</v>
      </c>
      <c r="C78" s="929"/>
      <c r="D78" s="626"/>
      <c r="E78" s="626"/>
      <c r="F78" s="626"/>
      <c r="G78" s="626"/>
      <c r="H78" s="626"/>
      <c r="I78" s="626"/>
      <c r="J78" s="626"/>
      <c r="K78" s="626"/>
      <c r="L78" s="627"/>
      <c r="M78" s="2"/>
      <c r="O78" s="11" t="s">
        <v>300</v>
      </c>
      <c r="P78" s="11" t="s">
        <v>301</v>
      </c>
    </row>
    <row r="79" spans="2:16" x14ac:dyDescent="0.35">
      <c r="B79" s="930"/>
      <c r="C79" s="931"/>
      <c r="D79" s="626"/>
      <c r="E79" s="626"/>
      <c r="F79" s="626"/>
      <c r="G79" s="626"/>
      <c r="H79" s="626"/>
      <c r="I79" s="626"/>
      <c r="J79" s="626"/>
      <c r="K79" s="626"/>
      <c r="L79" s="627"/>
      <c r="M79" s="2"/>
      <c r="O79" s="11"/>
    </row>
    <row r="80" spans="2:16" x14ac:dyDescent="0.35">
      <c r="B80" s="930"/>
      <c r="C80" s="931"/>
      <c r="D80" s="626"/>
      <c r="E80" s="626"/>
      <c r="F80" s="626"/>
      <c r="G80" s="626"/>
      <c r="H80" s="626"/>
      <c r="I80" s="626"/>
      <c r="J80" s="626"/>
      <c r="K80" s="626"/>
      <c r="L80" s="627"/>
      <c r="M80" s="2"/>
      <c r="O80" s="11"/>
    </row>
    <row r="81" spans="2:16" x14ac:dyDescent="0.35">
      <c r="B81" s="932" t="str">
        <f>IF(Intro!$G$21="English",$O$16,$P$16)</f>
        <v>Sélectionnez oui ou non</v>
      </c>
      <c r="C81" s="933"/>
      <c r="D81" s="626"/>
      <c r="E81" s="626"/>
      <c r="F81" s="626"/>
      <c r="G81" s="626"/>
      <c r="H81" s="626"/>
      <c r="I81" s="626"/>
      <c r="J81" s="626"/>
      <c r="K81" s="626"/>
      <c r="L81" s="627"/>
      <c r="M81" s="2"/>
      <c r="O81" s="11"/>
    </row>
    <row r="82" spans="2:16" x14ac:dyDescent="0.35">
      <c r="B82" s="934"/>
      <c r="C82" s="935"/>
      <c r="D82" s="626"/>
      <c r="E82" s="626"/>
      <c r="F82" s="626"/>
      <c r="G82" s="626"/>
      <c r="H82" s="626"/>
      <c r="I82" s="626"/>
      <c r="J82" s="626"/>
      <c r="K82" s="626"/>
      <c r="L82" s="627"/>
      <c r="M82" s="2"/>
      <c r="O82" s="11"/>
    </row>
    <row r="83" spans="2:16" x14ac:dyDescent="0.35">
      <c r="B83" s="936"/>
      <c r="C83" s="937"/>
      <c r="D83" s="626"/>
      <c r="E83" s="626"/>
      <c r="F83" s="626"/>
      <c r="G83" s="626"/>
      <c r="H83" s="626"/>
      <c r="I83" s="626"/>
      <c r="J83" s="626"/>
      <c r="K83" s="626"/>
      <c r="L83" s="627"/>
      <c r="M83" s="2"/>
      <c r="O83" s="11"/>
    </row>
    <row r="84" spans="2:16" x14ac:dyDescent="0.35">
      <c r="B84" s="938"/>
      <c r="C84" s="939"/>
      <c r="D84" s="626"/>
      <c r="E84" s="626"/>
      <c r="F84" s="626"/>
      <c r="G84" s="626"/>
      <c r="H84" s="626"/>
      <c r="I84" s="626"/>
      <c r="J84" s="626"/>
      <c r="K84" s="626"/>
      <c r="L84" s="627"/>
      <c r="M84" s="2"/>
      <c r="O84" s="11"/>
    </row>
    <row r="85" spans="2:16" x14ac:dyDescent="0.35">
      <c r="B85" s="938"/>
      <c r="C85" s="939"/>
      <c r="D85" s="626"/>
      <c r="E85" s="626"/>
      <c r="F85" s="626"/>
      <c r="G85" s="626"/>
      <c r="H85" s="626"/>
      <c r="I85" s="626"/>
      <c r="J85" s="626"/>
      <c r="K85" s="626"/>
      <c r="L85" s="627"/>
      <c r="M85" s="2"/>
      <c r="O85" s="11"/>
    </row>
    <row r="86" spans="2:16" x14ac:dyDescent="0.35">
      <c r="B86" s="938"/>
      <c r="C86" s="939"/>
      <c r="D86" s="626"/>
      <c r="E86" s="626"/>
      <c r="F86" s="626"/>
      <c r="G86" s="626"/>
      <c r="H86" s="626"/>
      <c r="I86" s="626"/>
      <c r="J86" s="626"/>
      <c r="K86" s="626"/>
      <c r="L86" s="627"/>
      <c r="M86" s="2"/>
      <c r="O86" s="11"/>
    </row>
    <row r="87" spans="2:16" x14ac:dyDescent="0.35">
      <c r="B87" s="932"/>
      <c r="C87" s="933"/>
      <c r="D87" s="626"/>
      <c r="E87" s="626"/>
      <c r="F87" s="626"/>
      <c r="G87" s="626"/>
      <c r="H87" s="626"/>
      <c r="I87" s="626"/>
      <c r="J87" s="626"/>
      <c r="K87" s="626"/>
      <c r="L87" s="627"/>
      <c r="M87" s="2"/>
      <c r="O87" s="11"/>
    </row>
    <row r="88" spans="2:16" x14ac:dyDescent="0.35">
      <c r="B88" s="928" t="str">
        <f>IF(Intro!$G$21="English",O88,P88)</f>
        <v>Le régime de pension</v>
      </c>
      <c r="C88" s="929"/>
      <c r="D88" s="626"/>
      <c r="E88" s="626"/>
      <c r="F88" s="626"/>
      <c r="G88" s="626"/>
      <c r="H88" s="626"/>
      <c r="I88" s="626"/>
      <c r="J88" s="626"/>
      <c r="K88" s="626"/>
      <c r="L88" s="627"/>
      <c r="M88" s="2"/>
      <c r="O88" s="11" t="s">
        <v>302</v>
      </c>
      <c r="P88" s="11" t="s">
        <v>303</v>
      </c>
    </row>
    <row r="89" spans="2:16" x14ac:dyDescent="0.35">
      <c r="B89" s="930"/>
      <c r="C89" s="931"/>
      <c r="D89" s="626"/>
      <c r="E89" s="626"/>
      <c r="F89" s="626"/>
      <c r="G89" s="626"/>
      <c r="H89" s="626"/>
      <c r="I89" s="626"/>
      <c r="J89" s="626"/>
      <c r="K89" s="626"/>
      <c r="L89" s="627"/>
      <c r="M89" s="2"/>
      <c r="O89" s="11"/>
    </row>
    <row r="90" spans="2:16" x14ac:dyDescent="0.35">
      <c r="B90" s="930"/>
      <c r="C90" s="931"/>
      <c r="D90" s="626"/>
      <c r="E90" s="626"/>
      <c r="F90" s="626"/>
      <c r="G90" s="626"/>
      <c r="H90" s="626"/>
      <c r="I90" s="626"/>
      <c r="J90" s="626"/>
      <c r="K90" s="626"/>
      <c r="L90" s="627"/>
      <c r="M90" s="2"/>
      <c r="O90" s="11"/>
    </row>
    <row r="91" spans="2:16" x14ac:dyDescent="0.35">
      <c r="B91" s="932" t="str">
        <f>IF(Intro!$G$21="English",$O$16,$P$16)</f>
        <v>Sélectionnez oui ou non</v>
      </c>
      <c r="C91" s="933"/>
      <c r="D91" s="626"/>
      <c r="E91" s="626"/>
      <c r="F91" s="626"/>
      <c r="G91" s="626"/>
      <c r="H91" s="626"/>
      <c r="I91" s="626"/>
      <c r="J91" s="626"/>
      <c r="K91" s="626"/>
      <c r="L91" s="627"/>
      <c r="M91" s="2"/>
      <c r="O91" s="11"/>
    </row>
    <row r="92" spans="2:16" x14ac:dyDescent="0.35">
      <c r="B92" s="934"/>
      <c r="C92" s="935"/>
      <c r="D92" s="626"/>
      <c r="E92" s="626"/>
      <c r="F92" s="626"/>
      <c r="G92" s="626"/>
      <c r="H92" s="626"/>
      <c r="I92" s="626"/>
      <c r="J92" s="626"/>
      <c r="K92" s="626"/>
      <c r="L92" s="627"/>
      <c r="M92" s="2"/>
      <c r="O92" s="11"/>
    </row>
    <row r="93" spans="2:16" x14ac:dyDescent="0.35">
      <c r="B93" s="936"/>
      <c r="C93" s="937"/>
      <c r="D93" s="626"/>
      <c r="E93" s="626"/>
      <c r="F93" s="626"/>
      <c r="G93" s="626"/>
      <c r="H93" s="626"/>
      <c r="I93" s="626"/>
      <c r="J93" s="626"/>
      <c r="K93" s="626"/>
      <c r="L93" s="627"/>
      <c r="M93" s="2"/>
      <c r="O93" s="11"/>
    </row>
    <row r="94" spans="2:16" x14ac:dyDescent="0.35">
      <c r="B94" s="938"/>
      <c r="C94" s="939"/>
      <c r="D94" s="626"/>
      <c r="E94" s="626"/>
      <c r="F94" s="626"/>
      <c r="G94" s="626"/>
      <c r="H94" s="626"/>
      <c r="I94" s="626"/>
      <c r="J94" s="626"/>
      <c r="K94" s="626"/>
      <c r="L94" s="627"/>
      <c r="M94" s="2"/>
      <c r="O94" s="11"/>
    </row>
    <row r="95" spans="2:16" x14ac:dyDescent="0.35">
      <c r="B95" s="938"/>
      <c r="C95" s="939"/>
      <c r="D95" s="626"/>
      <c r="E95" s="626"/>
      <c r="F95" s="626"/>
      <c r="G95" s="626"/>
      <c r="H95" s="626"/>
      <c r="I95" s="626"/>
      <c r="J95" s="626"/>
      <c r="K95" s="626"/>
      <c r="L95" s="627"/>
      <c r="M95" s="2"/>
      <c r="O95" s="11"/>
    </row>
    <row r="96" spans="2:16" x14ac:dyDescent="0.35">
      <c r="B96" s="938"/>
      <c r="C96" s="939"/>
      <c r="D96" s="626"/>
      <c r="E96" s="626"/>
      <c r="F96" s="626"/>
      <c r="G96" s="626"/>
      <c r="H96" s="626"/>
      <c r="I96" s="626"/>
      <c r="J96" s="626"/>
      <c r="K96" s="626"/>
      <c r="L96" s="627"/>
      <c r="M96" s="2"/>
      <c r="O96" s="11"/>
    </row>
    <row r="97" spans="2:16" x14ac:dyDescent="0.35">
      <c r="B97" s="932"/>
      <c r="C97" s="933"/>
      <c r="D97" s="626"/>
      <c r="E97" s="626"/>
      <c r="F97" s="626"/>
      <c r="G97" s="626"/>
      <c r="H97" s="626"/>
      <c r="I97" s="626"/>
      <c r="J97" s="626"/>
      <c r="K97" s="626"/>
      <c r="L97" s="627"/>
      <c r="M97" s="2"/>
      <c r="O97" s="11"/>
    </row>
    <row r="98" spans="2:16" x14ac:dyDescent="0.35">
      <c r="B98" s="928" t="str">
        <f>IF(Intro!$G$21="English",O98,P98)</f>
        <v>Les avantages sociaux</v>
      </c>
      <c r="C98" s="929"/>
      <c r="D98" s="626"/>
      <c r="E98" s="626"/>
      <c r="F98" s="626"/>
      <c r="G98" s="626"/>
      <c r="H98" s="626"/>
      <c r="I98" s="626"/>
      <c r="J98" s="626"/>
      <c r="K98" s="626"/>
      <c r="L98" s="627"/>
      <c r="M98" s="2"/>
      <c r="O98" s="11" t="s">
        <v>304</v>
      </c>
      <c r="P98" s="11" t="s">
        <v>305</v>
      </c>
    </row>
    <row r="99" spans="2:16" x14ac:dyDescent="0.35">
      <c r="B99" s="930"/>
      <c r="C99" s="931"/>
      <c r="D99" s="626"/>
      <c r="E99" s="626"/>
      <c r="F99" s="626"/>
      <c r="G99" s="626"/>
      <c r="H99" s="626"/>
      <c r="I99" s="626"/>
      <c r="J99" s="626"/>
      <c r="K99" s="626"/>
      <c r="L99" s="627"/>
      <c r="M99" s="2"/>
    </row>
    <row r="100" spans="2:16" x14ac:dyDescent="0.35">
      <c r="B100" s="930"/>
      <c r="C100" s="931"/>
      <c r="D100" s="626"/>
      <c r="E100" s="626"/>
      <c r="F100" s="626"/>
      <c r="G100" s="626"/>
      <c r="H100" s="626"/>
      <c r="I100" s="626"/>
      <c r="J100" s="626"/>
      <c r="K100" s="626"/>
      <c r="L100" s="627"/>
      <c r="M100" s="2"/>
    </row>
    <row r="101" spans="2:16" x14ac:dyDescent="0.35">
      <c r="B101" s="932" t="str">
        <f>IF(Intro!$G$21="English",$O$16,$P$16)</f>
        <v>Sélectionnez oui ou non</v>
      </c>
      <c r="C101" s="933"/>
      <c r="D101" s="626"/>
      <c r="E101" s="626"/>
      <c r="F101" s="626"/>
      <c r="G101" s="626"/>
      <c r="H101" s="626"/>
      <c r="I101" s="626"/>
      <c r="J101" s="626"/>
      <c r="K101" s="626"/>
      <c r="L101" s="627"/>
      <c r="M101" s="2"/>
      <c r="O101" s="11"/>
    </row>
    <row r="102" spans="2:16" x14ac:dyDescent="0.35">
      <c r="B102" s="934"/>
      <c r="C102" s="935"/>
      <c r="D102" s="626"/>
      <c r="E102" s="626"/>
      <c r="F102" s="626"/>
      <c r="G102" s="626"/>
      <c r="H102" s="626"/>
      <c r="I102" s="626"/>
      <c r="J102" s="626"/>
      <c r="K102" s="626"/>
      <c r="L102" s="627"/>
      <c r="M102" s="2"/>
      <c r="O102" s="11"/>
    </row>
    <row r="103" spans="2:16" x14ac:dyDescent="0.35">
      <c r="B103" s="936"/>
      <c r="C103" s="937"/>
      <c r="D103" s="626"/>
      <c r="E103" s="626"/>
      <c r="F103" s="626"/>
      <c r="G103" s="626"/>
      <c r="H103" s="626"/>
      <c r="I103" s="626"/>
      <c r="J103" s="626"/>
      <c r="K103" s="626"/>
      <c r="L103" s="627"/>
      <c r="M103" s="2"/>
      <c r="O103" s="11"/>
    </row>
    <row r="104" spans="2:16" x14ac:dyDescent="0.35">
      <c r="B104" s="938"/>
      <c r="C104" s="939"/>
      <c r="D104" s="626"/>
      <c r="E104" s="626"/>
      <c r="F104" s="626"/>
      <c r="G104" s="626"/>
      <c r="H104" s="626"/>
      <c r="I104" s="626"/>
      <c r="J104" s="626"/>
      <c r="K104" s="626"/>
      <c r="L104" s="627"/>
      <c r="M104" s="2"/>
      <c r="O104" s="11"/>
    </row>
    <row r="105" spans="2:16" x14ac:dyDescent="0.35">
      <c r="B105" s="938"/>
      <c r="C105" s="939"/>
      <c r="D105" s="626"/>
      <c r="E105" s="626"/>
      <c r="F105" s="626"/>
      <c r="G105" s="626"/>
      <c r="H105" s="626"/>
      <c r="I105" s="626"/>
      <c r="J105" s="626"/>
      <c r="K105" s="626"/>
      <c r="L105" s="627"/>
      <c r="M105" s="2"/>
      <c r="O105" s="11"/>
    </row>
    <row r="106" spans="2:16" x14ac:dyDescent="0.35">
      <c r="B106" s="938"/>
      <c r="C106" s="939"/>
      <c r="D106" s="626"/>
      <c r="E106" s="626"/>
      <c r="F106" s="626"/>
      <c r="G106" s="626"/>
      <c r="H106" s="626"/>
      <c r="I106" s="626"/>
      <c r="J106" s="626"/>
      <c r="K106" s="626"/>
      <c r="L106" s="627"/>
      <c r="M106" s="2"/>
      <c r="O106" s="11"/>
    </row>
    <row r="107" spans="2:16" x14ac:dyDescent="0.35">
      <c r="B107" s="932"/>
      <c r="C107" s="933"/>
      <c r="D107" s="626"/>
      <c r="E107" s="626"/>
      <c r="F107" s="626"/>
      <c r="G107" s="626"/>
      <c r="H107" s="626"/>
      <c r="I107" s="626"/>
      <c r="J107" s="626"/>
      <c r="K107" s="626"/>
      <c r="L107" s="627"/>
      <c r="M107" s="2"/>
      <c r="O107" s="11"/>
    </row>
    <row r="108" spans="2:16" x14ac:dyDescent="0.35">
      <c r="B108" s="928" t="str">
        <f>IF(Intro!$G$21="English",O108,P108)</f>
        <v>La formation et la sécurité des travailleurs.</v>
      </c>
      <c r="C108" s="929"/>
      <c r="D108" s="626"/>
      <c r="E108" s="626"/>
      <c r="F108" s="626"/>
      <c r="G108" s="626"/>
      <c r="H108" s="626"/>
      <c r="I108" s="626"/>
      <c r="J108" s="626"/>
      <c r="K108" s="626"/>
      <c r="L108" s="627"/>
      <c r="M108" s="2"/>
      <c r="O108" s="11" t="s">
        <v>306</v>
      </c>
      <c r="P108" s="11" t="s">
        <v>307</v>
      </c>
    </row>
    <row r="109" spans="2:16" x14ac:dyDescent="0.35">
      <c r="B109" s="930"/>
      <c r="C109" s="931"/>
      <c r="D109" s="626"/>
      <c r="E109" s="626"/>
      <c r="F109" s="626"/>
      <c r="G109" s="626"/>
      <c r="H109" s="626"/>
      <c r="I109" s="626"/>
      <c r="J109" s="626"/>
      <c r="K109" s="626"/>
      <c r="L109" s="627"/>
      <c r="M109" s="2"/>
      <c r="O109" s="11"/>
      <c r="P109" s="11"/>
    </row>
    <row r="110" spans="2:16" x14ac:dyDescent="0.35">
      <c r="B110" s="930"/>
      <c r="C110" s="931"/>
      <c r="D110" s="626"/>
      <c r="E110" s="626"/>
      <c r="F110" s="626"/>
      <c r="G110" s="626"/>
      <c r="H110" s="626"/>
      <c r="I110" s="626"/>
      <c r="J110" s="626"/>
      <c r="K110" s="626"/>
      <c r="L110" s="627"/>
      <c r="M110" s="2"/>
      <c r="O110" s="11"/>
    </row>
    <row r="111" spans="2:16" x14ac:dyDescent="0.35">
      <c r="B111" s="932" t="str">
        <f>IF(Intro!$G$21="English",$O$16,$P$16)</f>
        <v>Sélectionnez oui ou non</v>
      </c>
      <c r="C111" s="933"/>
      <c r="D111" s="626"/>
      <c r="E111" s="626"/>
      <c r="F111" s="626"/>
      <c r="G111" s="626"/>
      <c r="H111" s="626"/>
      <c r="I111" s="626"/>
      <c r="J111" s="626"/>
      <c r="K111" s="626"/>
      <c r="L111" s="627"/>
      <c r="M111" s="2"/>
      <c r="O111" s="11"/>
    </row>
    <row r="112" spans="2:16" x14ac:dyDescent="0.35">
      <c r="B112" s="934"/>
      <c r="C112" s="935"/>
      <c r="D112" s="626"/>
      <c r="E112" s="626"/>
      <c r="F112" s="626"/>
      <c r="G112" s="626"/>
      <c r="H112" s="626"/>
      <c r="I112" s="626"/>
      <c r="J112" s="626"/>
      <c r="K112" s="626"/>
      <c r="L112" s="627"/>
      <c r="M112" s="2"/>
      <c r="O112" s="11"/>
    </row>
    <row r="113" spans="2:16" x14ac:dyDescent="0.35">
      <c r="B113" s="936"/>
      <c r="C113" s="937"/>
      <c r="D113" s="626"/>
      <c r="E113" s="626"/>
      <c r="F113" s="626"/>
      <c r="G113" s="626"/>
      <c r="H113" s="626"/>
      <c r="I113" s="626"/>
      <c r="J113" s="626"/>
      <c r="K113" s="626"/>
      <c r="L113" s="627"/>
      <c r="M113" s="2"/>
      <c r="O113" s="11"/>
    </row>
    <row r="114" spans="2:16" x14ac:dyDescent="0.35">
      <c r="B114" s="938"/>
      <c r="C114" s="939"/>
      <c r="D114" s="626"/>
      <c r="E114" s="626"/>
      <c r="F114" s="626"/>
      <c r="G114" s="626"/>
      <c r="H114" s="626"/>
      <c r="I114" s="626"/>
      <c r="J114" s="626"/>
      <c r="K114" s="626"/>
      <c r="L114" s="627"/>
      <c r="M114" s="2"/>
      <c r="O114" s="11"/>
    </row>
    <row r="115" spans="2:16" x14ac:dyDescent="0.35">
      <c r="B115" s="938"/>
      <c r="C115" s="939"/>
      <c r="D115" s="626"/>
      <c r="E115" s="626"/>
      <c r="F115" s="626"/>
      <c r="G115" s="626"/>
      <c r="H115" s="626"/>
      <c r="I115" s="626"/>
      <c r="J115" s="626"/>
      <c r="K115" s="626"/>
      <c r="L115" s="627"/>
      <c r="M115" s="2"/>
      <c r="O115" s="11"/>
    </row>
    <row r="116" spans="2:16" x14ac:dyDescent="0.35">
      <c r="B116" s="938"/>
      <c r="C116" s="939"/>
      <c r="D116" s="626"/>
      <c r="E116" s="626"/>
      <c r="F116" s="626"/>
      <c r="G116" s="626"/>
      <c r="H116" s="626"/>
      <c r="I116" s="626"/>
      <c r="J116" s="626"/>
      <c r="K116" s="626"/>
      <c r="L116" s="627"/>
      <c r="M116" s="2"/>
      <c r="O116" s="11"/>
    </row>
    <row r="117" spans="2:16" x14ac:dyDescent="0.35">
      <c r="B117" s="932"/>
      <c r="C117" s="933"/>
      <c r="D117" s="626"/>
      <c r="E117" s="626"/>
      <c r="F117" s="626"/>
      <c r="G117" s="626"/>
      <c r="H117" s="626"/>
      <c r="I117" s="626"/>
      <c r="J117" s="626"/>
      <c r="K117" s="626"/>
      <c r="L117" s="627"/>
      <c r="M117" s="2"/>
      <c r="O117" s="11"/>
    </row>
    <row r="118" spans="2:16" x14ac:dyDescent="0.35">
      <c r="B118" s="928" t="str">
        <f>IF(Intro!$G$21="English",O118,P118)</f>
        <v xml:space="preserve">Autres facteurs pertinents </v>
      </c>
      <c r="C118" s="929"/>
      <c r="D118" s="626"/>
      <c r="E118" s="626"/>
      <c r="F118" s="626"/>
      <c r="G118" s="626"/>
      <c r="H118" s="626"/>
      <c r="I118" s="626"/>
      <c r="J118" s="626"/>
      <c r="K118" s="626"/>
      <c r="L118" s="627"/>
      <c r="M118" s="2"/>
      <c r="O118" s="11" t="s">
        <v>94</v>
      </c>
      <c r="P118" s="11" t="s">
        <v>95</v>
      </c>
    </row>
    <row r="119" spans="2:16" x14ac:dyDescent="0.35">
      <c r="B119" s="930"/>
      <c r="C119" s="931"/>
      <c r="D119" s="626"/>
      <c r="E119" s="626"/>
      <c r="F119" s="626"/>
      <c r="G119" s="626"/>
      <c r="H119" s="626"/>
      <c r="I119" s="626"/>
      <c r="J119" s="626"/>
      <c r="K119" s="626"/>
      <c r="L119" s="627"/>
      <c r="M119" s="2"/>
    </row>
    <row r="120" spans="2:16" x14ac:dyDescent="0.35">
      <c r="B120" s="930"/>
      <c r="C120" s="931"/>
      <c r="D120" s="626"/>
      <c r="E120" s="626"/>
      <c r="F120" s="626"/>
      <c r="G120" s="626"/>
      <c r="H120" s="626"/>
      <c r="I120" s="626"/>
      <c r="J120" s="626"/>
      <c r="K120" s="626"/>
      <c r="L120" s="627"/>
      <c r="M120" s="2"/>
      <c r="O120" s="11"/>
    </row>
    <row r="121" spans="2:16" x14ac:dyDescent="0.35">
      <c r="B121" s="932" t="str">
        <f>IF(Intro!$G$21="English",$O$16,$P$16)</f>
        <v>Sélectionnez oui ou non</v>
      </c>
      <c r="C121" s="933"/>
      <c r="D121" s="626"/>
      <c r="E121" s="626"/>
      <c r="F121" s="626"/>
      <c r="G121" s="626"/>
      <c r="H121" s="626"/>
      <c r="I121" s="626"/>
      <c r="J121" s="626"/>
      <c r="K121" s="626"/>
      <c r="L121" s="627"/>
      <c r="M121" s="2"/>
      <c r="O121" s="11"/>
    </row>
    <row r="122" spans="2:16" x14ac:dyDescent="0.35">
      <c r="B122" s="934"/>
      <c r="C122" s="935"/>
      <c r="D122" s="626"/>
      <c r="E122" s="626"/>
      <c r="F122" s="626"/>
      <c r="G122" s="626"/>
      <c r="H122" s="626"/>
      <c r="I122" s="626"/>
      <c r="J122" s="626"/>
      <c r="K122" s="626"/>
      <c r="L122" s="627"/>
      <c r="M122" s="2"/>
      <c r="O122" s="11"/>
    </row>
    <row r="123" spans="2:16" x14ac:dyDescent="0.35">
      <c r="B123" s="936"/>
      <c r="C123" s="937"/>
      <c r="D123" s="626"/>
      <c r="E123" s="626"/>
      <c r="F123" s="626"/>
      <c r="G123" s="626"/>
      <c r="H123" s="626"/>
      <c r="I123" s="626"/>
      <c r="J123" s="626"/>
      <c r="K123" s="626"/>
      <c r="L123" s="627"/>
      <c r="M123" s="2"/>
      <c r="O123" s="11"/>
    </row>
    <row r="124" spans="2:16" x14ac:dyDescent="0.35">
      <c r="B124" s="938"/>
      <c r="C124" s="939"/>
      <c r="D124" s="626"/>
      <c r="E124" s="626"/>
      <c r="F124" s="626"/>
      <c r="G124" s="626"/>
      <c r="H124" s="626"/>
      <c r="I124" s="626"/>
      <c r="J124" s="626"/>
      <c r="K124" s="626"/>
      <c r="L124" s="627"/>
      <c r="M124" s="2"/>
      <c r="O124" s="11"/>
    </row>
    <row r="125" spans="2:16" x14ac:dyDescent="0.35">
      <c r="B125" s="938"/>
      <c r="C125" s="939"/>
      <c r="D125" s="626"/>
      <c r="E125" s="626"/>
      <c r="F125" s="626"/>
      <c r="G125" s="626"/>
      <c r="H125" s="626"/>
      <c r="I125" s="626"/>
      <c r="J125" s="626"/>
      <c r="K125" s="626"/>
      <c r="L125" s="627"/>
      <c r="M125" s="2"/>
      <c r="O125" s="11"/>
    </row>
    <row r="126" spans="2:16" x14ac:dyDescent="0.35">
      <c r="B126" s="938"/>
      <c r="C126" s="939"/>
      <c r="D126" s="626"/>
      <c r="E126" s="626"/>
      <c r="F126" s="626"/>
      <c r="G126" s="626"/>
      <c r="H126" s="626"/>
      <c r="I126" s="626"/>
      <c r="J126" s="626"/>
      <c r="K126" s="626"/>
      <c r="L126" s="627"/>
      <c r="M126" s="2"/>
      <c r="O126" s="11"/>
    </row>
    <row r="127" spans="2:16" x14ac:dyDescent="0.35">
      <c r="B127" s="932"/>
      <c r="C127" s="933"/>
      <c r="D127" s="626"/>
      <c r="E127" s="626"/>
      <c r="F127" s="626"/>
      <c r="G127" s="626"/>
      <c r="H127" s="626"/>
      <c r="I127" s="626"/>
      <c r="J127" s="626"/>
      <c r="K127" s="626"/>
      <c r="L127" s="627"/>
      <c r="M127" s="2"/>
      <c r="O127" s="11"/>
    </row>
    <row r="128" spans="2:16" x14ac:dyDescent="0.35">
      <c r="B128" s="175"/>
      <c r="C128" s="176"/>
      <c r="D128" s="176"/>
      <c r="E128" s="176"/>
      <c r="F128" s="176"/>
      <c r="G128" s="176"/>
      <c r="H128" s="176"/>
      <c r="I128" s="176"/>
      <c r="J128" s="176"/>
      <c r="K128" s="176"/>
      <c r="L128" s="177"/>
      <c r="M128" s="2"/>
    </row>
    <row r="129" spans="1:16" x14ac:dyDescent="0.35">
      <c r="B129" s="599" t="str">
        <f>IF(Intro!$G$21="English",O129,P129)</f>
        <v xml:space="preserve"> ALLÉGATIONS DE DOMMAGE</v>
      </c>
      <c r="C129" s="600"/>
      <c r="D129" s="600"/>
      <c r="E129" s="600"/>
      <c r="F129" s="600"/>
      <c r="G129" s="600"/>
      <c r="H129" s="600"/>
      <c r="I129" s="600"/>
      <c r="J129" s="600"/>
      <c r="K129" s="600"/>
      <c r="L129" s="601"/>
      <c r="M129" s="2"/>
      <c r="O129" s="2" t="s">
        <v>96</v>
      </c>
      <c r="P129" s="2" t="s">
        <v>97</v>
      </c>
    </row>
    <row r="130" spans="1:16" s="3" customFormat="1" x14ac:dyDescent="0.35">
      <c r="A130" s="12"/>
      <c r="B130" s="710" t="s">
        <v>21</v>
      </c>
      <c r="C130" s="711"/>
      <c r="D130" s="711"/>
      <c r="E130" s="711"/>
      <c r="F130" s="711"/>
      <c r="G130" s="711"/>
      <c r="H130" s="711"/>
      <c r="I130" s="711"/>
      <c r="J130" s="711"/>
      <c r="K130" s="711"/>
      <c r="L130" s="712"/>
      <c r="M130" s="167"/>
      <c r="O130" s="2"/>
    </row>
    <row r="131" spans="1:16" x14ac:dyDescent="0.35">
      <c r="B131" s="169"/>
      <c r="C131" s="170"/>
      <c r="D131" s="170"/>
      <c r="E131" s="170"/>
      <c r="F131" s="170"/>
      <c r="G131" s="170"/>
      <c r="H131" s="170"/>
      <c r="I131" s="170"/>
      <c r="J131" s="170"/>
      <c r="K131" s="170"/>
      <c r="L131" s="171"/>
      <c r="M131" s="2"/>
    </row>
    <row r="132" spans="1:16" x14ac:dyDescent="0.35">
      <c r="B132" s="602" t="str">
        <f>IF(Intro!$G$21="English",O132,P132)</f>
        <v>Aux termes de la Ligne directrice sur la désignation, protection, utilisation et transmission des renseignements confidentiels (Ligne directrice), les producteurs nationaux ne sont pas tenus de fournir des allégations de dommage à l’égard d’un client en particulier puisqu'elles ne sont pas essentielles au déroulement d’une enquête ou d’un réexamen. Par contre, si une partie décide d’en présenter, le Tribunal recherchera la qualité plutôt que la quantité.</v>
      </c>
      <c r="C132" s="603"/>
      <c r="D132" s="603"/>
      <c r="E132" s="603"/>
      <c r="F132" s="603"/>
      <c r="G132" s="603"/>
      <c r="H132" s="603"/>
      <c r="I132" s="603"/>
      <c r="J132" s="603"/>
      <c r="K132" s="603"/>
      <c r="L132" s="604"/>
      <c r="M132" s="2"/>
      <c r="O132" s="2" t="s">
        <v>257</v>
      </c>
      <c r="P132" s="2" t="s">
        <v>258</v>
      </c>
    </row>
    <row r="133" spans="1:16" x14ac:dyDescent="0.35">
      <c r="B133" s="602"/>
      <c r="C133" s="603"/>
      <c r="D133" s="603"/>
      <c r="E133" s="603"/>
      <c r="F133" s="603"/>
      <c r="G133" s="603"/>
      <c r="H133" s="603"/>
      <c r="I133" s="603"/>
      <c r="J133" s="603"/>
      <c r="K133" s="603"/>
      <c r="L133" s="604"/>
      <c r="M133" s="2"/>
    </row>
    <row r="134" spans="1:16" x14ac:dyDescent="0.35">
      <c r="B134" s="602"/>
      <c r="C134" s="603"/>
      <c r="D134" s="603"/>
      <c r="E134" s="603"/>
      <c r="F134" s="603"/>
      <c r="G134" s="603"/>
      <c r="H134" s="603"/>
      <c r="I134" s="603"/>
      <c r="J134" s="603"/>
      <c r="K134" s="603"/>
      <c r="L134" s="604"/>
      <c r="M134" s="2"/>
    </row>
    <row r="135" spans="1:16" x14ac:dyDescent="0.35">
      <c r="B135" s="159"/>
      <c r="C135" s="160"/>
      <c r="D135" s="160"/>
      <c r="E135" s="160"/>
      <c r="F135" s="160"/>
      <c r="G135" s="160"/>
      <c r="H135" s="160"/>
      <c r="I135" s="160"/>
      <c r="J135" s="160"/>
      <c r="K135" s="160"/>
      <c r="L135" s="161"/>
      <c r="M135" s="2"/>
    </row>
    <row r="136" spans="1:16" x14ac:dyDescent="0.35">
      <c r="B136" s="602" t="str">
        <f>IF(Intro!$G$21="English",O136,P136)</f>
        <v>Si votre entreprise souhaite formuler des allégations de préjudice spécifique à un client pour lequel elle estime que les marchandises en cause lui ont fait perdre des clients, perdre certaines ventes à un client ou réduire ou supprimer les prix pour conserver les ventes, veuillez fournir les informations demandées ci-dessous.</v>
      </c>
      <c r="C136" s="603"/>
      <c r="D136" s="603"/>
      <c r="E136" s="603"/>
      <c r="F136" s="603"/>
      <c r="G136" s="603"/>
      <c r="H136" s="603"/>
      <c r="I136" s="603"/>
      <c r="J136" s="603"/>
      <c r="K136" s="603"/>
      <c r="L136" s="604"/>
      <c r="M136" s="2"/>
      <c r="O136" s="2" t="s">
        <v>425</v>
      </c>
      <c r="P136" s="2" t="s">
        <v>594</v>
      </c>
    </row>
    <row r="137" spans="1:16" x14ac:dyDescent="0.35">
      <c r="B137" s="602"/>
      <c r="C137" s="603"/>
      <c r="D137" s="603"/>
      <c r="E137" s="603"/>
      <c r="F137" s="603"/>
      <c r="G137" s="603"/>
      <c r="H137" s="603"/>
      <c r="I137" s="603"/>
      <c r="J137" s="603"/>
      <c r="K137" s="603"/>
      <c r="L137" s="604"/>
      <c r="M137" s="2"/>
    </row>
    <row r="138" spans="1:16" x14ac:dyDescent="0.35">
      <c r="B138" s="159"/>
      <c r="C138" s="160"/>
      <c r="D138" s="160"/>
      <c r="E138" s="160"/>
      <c r="F138" s="160"/>
      <c r="G138" s="160"/>
      <c r="H138" s="160"/>
      <c r="I138" s="160"/>
      <c r="J138" s="160"/>
      <c r="K138" s="160"/>
      <c r="L138" s="161"/>
      <c r="M138" s="2"/>
    </row>
    <row r="139" spans="1:16" x14ac:dyDescent="0.35">
      <c r="B139" s="602" t="str">
        <f>IF(Intro!$G$21="English",O139,P139)</f>
        <v>Ces allégations doivent être détaillées, concrètes, fondées et vérifiables. Toutefois, l’échantillon choisi doit consister en un maximum de 10 exemples raisonnables de la nature du prétendu dommage.</v>
      </c>
      <c r="C139" s="603"/>
      <c r="D139" s="603"/>
      <c r="E139" s="603"/>
      <c r="F139" s="603"/>
      <c r="G139" s="603"/>
      <c r="H139" s="603"/>
      <c r="I139" s="603"/>
      <c r="J139" s="603"/>
      <c r="K139" s="603"/>
      <c r="L139" s="604"/>
      <c r="M139" s="2"/>
      <c r="O139" s="11" t="s">
        <v>387</v>
      </c>
      <c r="P139" s="2" t="s">
        <v>388</v>
      </c>
    </row>
    <row r="140" spans="1:16" x14ac:dyDescent="0.35">
      <c r="B140" s="602"/>
      <c r="C140" s="603"/>
      <c r="D140" s="603"/>
      <c r="E140" s="603"/>
      <c r="F140" s="603"/>
      <c r="G140" s="603"/>
      <c r="H140" s="603"/>
      <c r="I140" s="603"/>
      <c r="J140" s="603"/>
      <c r="K140" s="603"/>
      <c r="L140" s="604"/>
      <c r="M140" s="2"/>
      <c r="O140" s="11"/>
    </row>
    <row r="141" spans="1:16" x14ac:dyDescent="0.35">
      <c r="B141" s="159"/>
      <c r="C141" s="160"/>
      <c r="D141" s="160"/>
      <c r="E141" s="160"/>
      <c r="F141" s="160"/>
      <c r="G141" s="160"/>
      <c r="H141" s="160"/>
      <c r="I141" s="160"/>
      <c r="J141" s="160"/>
      <c r="K141" s="160"/>
      <c r="L141" s="161"/>
      <c r="M141" s="2"/>
      <c r="O141" s="11"/>
    </row>
    <row r="142" spans="1:16" x14ac:dyDescent="0.35">
      <c r="B142" s="602" t="str">
        <f>IF(Intro!$G$21="English",O142,P142)</f>
        <v>NOTE :</v>
      </c>
      <c r="C142" s="603"/>
      <c r="D142" s="603"/>
      <c r="E142" s="603"/>
      <c r="F142" s="603"/>
      <c r="G142" s="603"/>
      <c r="H142" s="603"/>
      <c r="I142" s="603"/>
      <c r="J142" s="603"/>
      <c r="K142" s="603"/>
      <c r="L142" s="604"/>
      <c r="M142" s="2"/>
      <c r="O142" s="11" t="s">
        <v>98</v>
      </c>
      <c r="P142" s="2" t="s">
        <v>99</v>
      </c>
    </row>
    <row r="143" spans="1:16" x14ac:dyDescent="0.35">
      <c r="B143" s="602" t="str">
        <f>IF(Intro!$G$21="English",O143,P143)</f>
        <v>1. Aux termes de la Ligne directrice, le Tribunal considère que certains renseignements fournis dans les allégations de dommage de votre entreprise sont de nature publique/non confidentielle. Ces informations sont indiquées par la lettre « P ». Ces informations seront utilisées pour générer la réponse de votre entreprise sous l’onglet bleu « Confirm ». Par conséquent, vérifiez que toute l’information fournie dans les colonnes portant la mention « P » est de nature publique/non confidentielle.</v>
      </c>
      <c r="C143" s="603"/>
      <c r="D143" s="603"/>
      <c r="E143" s="603"/>
      <c r="F143" s="603"/>
      <c r="G143" s="603"/>
      <c r="H143" s="603"/>
      <c r="I143" s="603"/>
      <c r="J143" s="603"/>
      <c r="K143" s="603"/>
      <c r="L143" s="604"/>
      <c r="M143" s="2"/>
      <c r="O143" s="11" t="s">
        <v>362</v>
      </c>
      <c r="P143" s="2" t="s">
        <v>363</v>
      </c>
    </row>
    <row r="144" spans="1:16" x14ac:dyDescent="0.35">
      <c r="B144" s="602"/>
      <c r="C144" s="603"/>
      <c r="D144" s="603"/>
      <c r="E144" s="603"/>
      <c r="F144" s="603"/>
      <c r="G144" s="603"/>
      <c r="H144" s="603"/>
      <c r="I144" s="603"/>
      <c r="J144" s="603"/>
      <c r="K144" s="603"/>
      <c r="L144" s="604"/>
      <c r="M144" s="2"/>
      <c r="O144" s="11"/>
    </row>
    <row r="145" spans="1:16" x14ac:dyDescent="0.35">
      <c r="B145" s="602"/>
      <c r="C145" s="603"/>
      <c r="D145" s="603"/>
      <c r="E145" s="603"/>
      <c r="F145" s="603"/>
      <c r="G145" s="603"/>
      <c r="H145" s="603"/>
      <c r="I145" s="603"/>
      <c r="J145" s="603"/>
      <c r="K145" s="603"/>
      <c r="L145" s="604"/>
      <c r="M145" s="2"/>
      <c r="O145" s="11"/>
    </row>
    <row r="146" spans="1:16" x14ac:dyDescent="0.35">
      <c r="B146" s="159"/>
      <c r="C146" s="160"/>
      <c r="D146" s="160"/>
      <c r="E146" s="160"/>
      <c r="F146" s="160"/>
      <c r="G146" s="160"/>
      <c r="H146" s="160"/>
      <c r="I146" s="160"/>
      <c r="J146" s="160"/>
      <c r="K146" s="160"/>
      <c r="L146" s="161"/>
      <c r="M146" s="2"/>
      <c r="O146" s="11"/>
    </row>
    <row r="147" spans="1:16" x14ac:dyDescent="0.35">
      <c r="B147" s="602" t="str">
        <f>IF(Intro!$G$21="English",O147,P147)</f>
        <v>2. Certaines informations fournies par votre entreprise peuvent faire l’objet d’une « divulgation restreinte » à la partie visée par les allégations de votre entreprise. Ces informations sont indiquées par les lettres « LD ». Pour faciliter et accélérer ce processus de « divulgation restreinte », votre entreprise est invitée à préparer, en remplissant le questionnaire, une version de « divulgation restreinte » de ces allégations. Cette version ne fera pas partie de la réponse au questionnaire de votre entreprise, mais doit être transmise, par votre conseiller juridique ou vous-même, à la partie ayant demandé une telle « divulgation restreinte », après que cette dernière aura déposé un acte d'engagement et de reconnaissance auprès du Tribunal.</v>
      </c>
      <c r="C147" s="603"/>
      <c r="D147" s="603"/>
      <c r="E147" s="603"/>
      <c r="F147" s="603"/>
      <c r="G147" s="603"/>
      <c r="H147" s="603"/>
      <c r="I147" s="603"/>
      <c r="J147" s="603"/>
      <c r="K147" s="603"/>
      <c r="L147" s="604"/>
      <c r="M147" s="2"/>
      <c r="O147" s="11" t="s">
        <v>260</v>
      </c>
      <c r="P147" s="2" t="s">
        <v>110</v>
      </c>
    </row>
    <row r="148" spans="1:16" x14ac:dyDescent="0.35">
      <c r="B148" s="602"/>
      <c r="C148" s="603"/>
      <c r="D148" s="603"/>
      <c r="E148" s="603"/>
      <c r="F148" s="603"/>
      <c r="G148" s="603"/>
      <c r="H148" s="603"/>
      <c r="I148" s="603"/>
      <c r="J148" s="603"/>
      <c r="K148" s="603"/>
      <c r="L148" s="604"/>
      <c r="M148" s="2"/>
      <c r="O148" s="11"/>
    </row>
    <row r="149" spans="1:16" x14ac:dyDescent="0.35">
      <c r="B149" s="602"/>
      <c r="C149" s="603"/>
      <c r="D149" s="603"/>
      <c r="E149" s="603"/>
      <c r="F149" s="603"/>
      <c r="G149" s="603"/>
      <c r="H149" s="603"/>
      <c r="I149" s="603"/>
      <c r="J149" s="603"/>
      <c r="K149" s="603"/>
      <c r="L149" s="604"/>
      <c r="M149" s="2"/>
      <c r="O149" s="11"/>
    </row>
    <row r="150" spans="1:16" x14ac:dyDescent="0.35">
      <c r="B150" s="602"/>
      <c r="C150" s="603"/>
      <c r="D150" s="603"/>
      <c r="E150" s="603"/>
      <c r="F150" s="603"/>
      <c r="G150" s="603"/>
      <c r="H150" s="603"/>
      <c r="I150" s="603"/>
      <c r="J150" s="603"/>
      <c r="K150" s="603"/>
      <c r="L150" s="604"/>
      <c r="M150" s="2"/>
      <c r="O150" s="11"/>
    </row>
    <row r="151" spans="1:16" x14ac:dyDescent="0.35">
      <c r="B151" s="159"/>
      <c r="C151" s="160"/>
      <c r="D151" s="26"/>
      <c r="E151" s="26"/>
      <c r="F151" s="26"/>
      <c r="G151" s="26"/>
      <c r="H151" s="26"/>
      <c r="I151" s="26"/>
      <c r="J151" s="26"/>
      <c r="K151" s="26"/>
      <c r="L151" s="27"/>
      <c r="M151" s="2"/>
      <c r="O151" s="11"/>
    </row>
    <row r="152" spans="1:16" x14ac:dyDescent="0.35">
      <c r="B152" s="218" t="str">
        <f>IF(Intro!$G$21="English",O152,P152)</f>
        <v>Allegation</v>
      </c>
      <c r="C152" s="953">
        <v>1</v>
      </c>
      <c r="D152" s="954"/>
      <c r="E152" s="953">
        <v>2</v>
      </c>
      <c r="F152" s="954"/>
      <c r="G152" s="953">
        <v>3</v>
      </c>
      <c r="H152" s="954"/>
      <c r="I152" s="953">
        <v>4</v>
      </c>
      <c r="J152" s="954"/>
      <c r="K152" s="953">
        <v>5</v>
      </c>
      <c r="L152" s="955"/>
      <c r="M152" s="2"/>
      <c r="O152" s="11" t="s">
        <v>259</v>
      </c>
      <c r="P152" s="2" t="s">
        <v>259</v>
      </c>
    </row>
    <row r="153" spans="1:16" s="3" customFormat="1" x14ac:dyDescent="0.35">
      <c r="A153" s="18"/>
      <c r="B153" s="940" t="str">
        <f>IF(Intro!$G$21="English",O153,P153)</f>
        <v>Renseignements généraux</v>
      </c>
      <c r="C153" s="788"/>
      <c r="D153" s="941"/>
      <c r="E153" s="941"/>
      <c r="F153" s="941"/>
      <c r="G153" s="941"/>
      <c r="H153" s="941"/>
      <c r="I153" s="941"/>
      <c r="J153" s="941"/>
      <c r="K153" s="941"/>
      <c r="L153" s="942"/>
      <c r="O153" s="4" t="s">
        <v>261</v>
      </c>
      <c r="P153" s="3" t="s">
        <v>262</v>
      </c>
    </row>
    <row r="154" spans="1:16" x14ac:dyDescent="0.35">
      <c r="B154" s="630" t="str">
        <f>IF(Intro!$G$21="English",O154,P154)</f>
        <v>Nom du client (LD)</v>
      </c>
      <c r="C154" s="943"/>
      <c r="D154" s="944"/>
      <c r="E154" s="943"/>
      <c r="F154" s="944"/>
      <c r="G154" s="943"/>
      <c r="H154" s="944"/>
      <c r="I154" s="943"/>
      <c r="J154" s="944"/>
      <c r="K154" s="943"/>
      <c r="L154" s="947"/>
      <c r="M154" s="2"/>
      <c r="O154" s="2" t="s">
        <v>263</v>
      </c>
      <c r="P154" s="2" t="s">
        <v>264</v>
      </c>
    </row>
    <row r="155" spans="1:16" x14ac:dyDescent="0.35">
      <c r="B155" s="634"/>
      <c r="C155" s="945"/>
      <c r="D155" s="946"/>
      <c r="E155" s="945"/>
      <c r="F155" s="946"/>
      <c r="G155" s="945"/>
      <c r="H155" s="946"/>
      <c r="I155" s="945"/>
      <c r="J155" s="946"/>
      <c r="K155" s="945"/>
      <c r="L155" s="948"/>
      <c r="M155" s="2"/>
    </row>
    <row r="156" spans="1:16" x14ac:dyDescent="0.35">
      <c r="B156" s="630" t="str">
        <f>IF(Intro!$G$21="English",O156,P156)</f>
        <v>Adresse (LD)</v>
      </c>
      <c r="C156" s="943"/>
      <c r="D156" s="944"/>
      <c r="E156" s="943"/>
      <c r="F156" s="944"/>
      <c r="G156" s="943"/>
      <c r="H156" s="944"/>
      <c r="I156" s="943"/>
      <c r="J156" s="944"/>
      <c r="K156" s="943"/>
      <c r="L156" s="947"/>
      <c r="M156" s="2"/>
      <c r="O156" s="2" t="s">
        <v>265</v>
      </c>
      <c r="P156" s="2" t="s">
        <v>266</v>
      </c>
    </row>
    <row r="157" spans="1:16" x14ac:dyDescent="0.35">
      <c r="B157" s="634"/>
      <c r="C157" s="945"/>
      <c r="D157" s="946"/>
      <c r="E157" s="945"/>
      <c r="F157" s="946"/>
      <c r="G157" s="945"/>
      <c r="H157" s="946"/>
      <c r="I157" s="945"/>
      <c r="J157" s="946"/>
      <c r="K157" s="945"/>
      <c r="L157" s="948"/>
      <c r="M157" s="2"/>
    </row>
    <row r="158" spans="1:16" x14ac:dyDescent="0.35">
      <c r="B158" s="630" t="str">
        <f>IF(Intro!$G$21="English",O158,P158)</f>
        <v>Niveau commercial (LD)</v>
      </c>
      <c r="C158" s="943"/>
      <c r="D158" s="944"/>
      <c r="E158" s="943"/>
      <c r="F158" s="944"/>
      <c r="G158" s="943"/>
      <c r="H158" s="944"/>
      <c r="I158" s="943"/>
      <c r="J158" s="944"/>
      <c r="K158" s="943"/>
      <c r="L158" s="947"/>
      <c r="M158" s="2"/>
      <c r="O158" s="2" t="s">
        <v>267</v>
      </c>
      <c r="P158" s="2" t="s">
        <v>595</v>
      </c>
    </row>
    <row r="159" spans="1:16" x14ac:dyDescent="0.35">
      <c r="B159" s="634"/>
      <c r="C159" s="945"/>
      <c r="D159" s="946"/>
      <c r="E159" s="945"/>
      <c r="F159" s="946"/>
      <c r="G159" s="945"/>
      <c r="H159" s="946"/>
      <c r="I159" s="945"/>
      <c r="J159" s="946"/>
      <c r="K159" s="945"/>
      <c r="L159" s="948"/>
      <c r="M159" s="2"/>
    </row>
    <row r="160" spans="1:16" x14ac:dyDescent="0.35">
      <c r="B160" s="630" t="str">
        <f>IF(Intro!$G$21="English",O160,P160)</f>
        <v>Nature du dommage allégué (P)</v>
      </c>
      <c r="C160" s="943"/>
      <c r="D160" s="944"/>
      <c r="E160" s="943"/>
      <c r="F160" s="944"/>
      <c r="G160" s="943"/>
      <c r="H160" s="944"/>
      <c r="I160" s="943"/>
      <c r="J160" s="944"/>
      <c r="K160" s="943"/>
      <c r="L160" s="947"/>
      <c r="M160" s="2"/>
      <c r="O160" s="2" t="s">
        <v>140</v>
      </c>
      <c r="P160" s="2" t="s">
        <v>141</v>
      </c>
    </row>
    <row r="161" spans="1:19" x14ac:dyDescent="0.35">
      <c r="B161" s="632"/>
      <c r="C161" s="949"/>
      <c r="D161" s="950"/>
      <c r="E161" s="949"/>
      <c r="F161" s="950"/>
      <c r="G161" s="949"/>
      <c r="H161" s="950"/>
      <c r="I161" s="949"/>
      <c r="J161" s="950"/>
      <c r="K161" s="949"/>
      <c r="L161" s="951"/>
      <c r="M161" s="2"/>
    </row>
    <row r="162" spans="1:19" x14ac:dyDescent="0.35">
      <c r="B162" s="634"/>
      <c r="C162" s="945"/>
      <c r="D162" s="946"/>
      <c r="E162" s="945"/>
      <c r="F162" s="946"/>
      <c r="G162" s="945"/>
      <c r="H162" s="946"/>
      <c r="I162" s="945"/>
      <c r="J162" s="946"/>
      <c r="K162" s="945"/>
      <c r="L162" s="948"/>
      <c r="M162" s="2"/>
    </row>
    <row r="163" spans="1:19" s="3" customFormat="1" x14ac:dyDescent="0.35">
      <c r="A163" s="12"/>
      <c r="B163" s="940" t="str">
        <f>IF(Intro!$G$21="English",O163,P163)</f>
        <v>Offre du producteur national</v>
      </c>
      <c r="C163" s="788"/>
      <c r="D163" s="941"/>
      <c r="E163" s="941"/>
      <c r="F163" s="941"/>
      <c r="G163" s="941"/>
      <c r="H163" s="941"/>
      <c r="I163" s="941"/>
      <c r="J163" s="941"/>
      <c r="K163" s="941"/>
      <c r="L163" s="942"/>
      <c r="O163" s="4" t="s">
        <v>268</v>
      </c>
      <c r="P163" s="4" t="s">
        <v>269</v>
      </c>
      <c r="Q163" s="4"/>
      <c r="R163" s="4"/>
      <c r="S163" s="4"/>
    </row>
    <row r="164" spans="1:19" x14ac:dyDescent="0.35">
      <c r="B164" s="630" t="str">
        <f>IF(Intro!$G$21="English",O164,P164)</f>
        <v>Description du produit (P)</v>
      </c>
      <c r="C164" s="943"/>
      <c r="D164" s="944"/>
      <c r="E164" s="943"/>
      <c r="F164" s="944"/>
      <c r="G164" s="943"/>
      <c r="H164" s="944"/>
      <c r="I164" s="943"/>
      <c r="J164" s="944"/>
      <c r="K164" s="943"/>
      <c r="L164" s="947"/>
      <c r="M164" s="2"/>
      <c r="O164" s="2" t="s">
        <v>142</v>
      </c>
      <c r="P164" s="2" t="s">
        <v>143</v>
      </c>
    </row>
    <row r="165" spans="1:19" x14ac:dyDescent="0.35">
      <c r="B165" s="632"/>
      <c r="C165" s="949"/>
      <c r="D165" s="950"/>
      <c r="E165" s="949"/>
      <c r="F165" s="950"/>
      <c r="G165" s="949"/>
      <c r="H165" s="950"/>
      <c r="I165" s="949"/>
      <c r="J165" s="950"/>
      <c r="K165" s="949"/>
      <c r="L165" s="951"/>
      <c r="M165" s="2"/>
    </row>
    <row r="166" spans="1:19" x14ac:dyDescent="0.35">
      <c r="B166" s="632"/>
      <c r="C166" s="949"/>
      <c r="D166" s="950"/>
      <c r="E166" s="949"/>
      <c r="F166" s="950"/>
      <c r="G166" s="949"/>
      <c r="H166" s="950"/>
      <c r="I166" s="949"/>
      <c r="J166" s="950"/>
      <c r="K166" s="949"/>
      <c r="L166" s="951"/>
      <c r="M166" s="2"/>
    </row>
    <row r="167" spans="1:19" x14ac:dyDescent="0.35">
      <c r="B167" s="634"/>
      <c r="C167" s="945"/>
      <c r="D167" s="946"/>
      <c r="E167" s="945"/>
      <c r="F167" s="946"/>
      <c r="G167" s="945"/>
      <c r="H167" s="946"/>
      <c r="I167" s="945"/>
      <c r="J167" s="946"/>
      <c r="K167" s="945"/>
      <c r="L167" s="948"/>
      <c r="M167" s="2"/>
    </row>
    <row r="168" spans="1:19" x14ac:dyDescent="0.35">
      <c r="B168" s="630" t="str">
        <f>IF(Intro!$G$21="English",O168,P168)</f>
        <v>Date de la transaction (P)</v>
      </c>
      <c r="C168" s="943"/>
      <c r="D168" s="944"/>
      <c r="E168" s="943"/>
      <c r="F168" s="944"/>
      <c r="G168" s="943"/>
      <c r="H168" s="944"/>
      <c r="I168" s="943"/>
      <c r="J168" s="944"/>
      <c r="K168" s="943"/>
      <c r="L168" s="947"/>
      <c r="M168" s="2"/>
      <c r="O168" s="2" t="s">
        <v>144</v>
      </c>
      <c r="P168" s="2" t="s">
        <v>145</v>
      </c>
    </row>
    <row r="169" spans="1:19" x14ac:dyDescent="0.35">
      <c r="B169" s="634"/>
      <c r="C169" s="945"/>
      <c r="D169" s="946"/>
      <c r="E169" s="945"/>
      <c r="F169" s="946"/>
      <c r="G169" s="945"/>
      <c r="H169" s="946"/>
      <c r="I169" s="945"/>
      <c r="J169" s="946"/>
      <c r="K169" s="945"/>
      <c r="L169" s="948"/>
      <c r="M169" s="2"/>
    </row>
    <row r="170" spans="1:19" x14ac:dyDescent="0.35">
      <c r="B170" s="630" t="str">
        <f>IF(Intro!$G$21="English",O170,P170)</f>
        <v>Volume offert (mètres)</v>
      </c>
      <c r="C170" s="943"/>
      <c r="D170" s="944"/>
      <c r="E170" s="943"/>
      <c r="F170" s="944"/>
      <c r="G170" s="943"/>
      <c r="H170" s="944"/>
      <c r="I170" s="943"/>
      <c r="J170" s="944"/>
      <c r="K170" s="943"/>
      <c r="L170" s="947"/>
      <c r="M170" s="2"/>
      <c r="O170" s="2" t="str">
        <f>"Volume Offered ("&amp;Variables!B23&amp;")"</f>
        <v>Volume Offered (metres)</v>
      </c>
      <c r="P170" s="2" t="str">
        <f>"Volume offert ("&amp;Variables!C23&amp;")"</f>
        <v>Volume offert (mètres)</v>
      </c>
    </row>
    <row r="171" spans="1:19" x14ac:dyDescent="0.35">
      <c r="B171" s="634"/>
      <c r="C171" s="945"/>
      <c r="D171" s="946"/>
      <c r="E171" s="945"/>
      <c r="F171" s="946"/>
      <c r="G171" s="945"/>
      <c r="H171" s="946"/>
      <c r="I171" s="945"/>
      <c r="J171" s="946"/>
      <c r="K171" s="945"/>
      <c r="L171" s="948"/>
      <c r="M171" s="2"/>
    </row>
    <row r="172" spans="1:19" x14ac:dyDescent="0.35">
      <c r="B172" s="630" t="str">
        <f>IF(Intro!$G$21="English",O172,P172)</f>
        <v>Volume vendu (mètres)</v>
      </c>
      <c r="C172" s="943"/>
      <c r="D172" s="944"/>
      <c r="E172" s="943"/>
      <c r="F172" s="944"/>
      <c r="G172" s="943"/>
      <c r="H172" s="944"/>
      <c r="I172" s="943"/>
      <c r="J172" s="944"/>
      <c r="K172" s="943"/>
      <c r="L172" s="947"/>
      <c r="M172" s="2"/>
      <c r="O172" s="2" t="str">
        <f>"Volume Sold ("&amp;Variables!B23&amp;")"</f>
        <v>Volume Sold (metres)</v>
      </c>
      <c r="P172" s="2" t="str">
        <f>"Volume vendu ("&amp;Variables!C23&amp;")"</f>
        <v>Volume vendu (mètres)</v>
      </c>
    </row>
    <row r="173" spans="1:19" x14ac:dyDescent="0.35">
      <c r="B173" s="634"/>
      <c r="C173" s="945"/>
      <c r="D173" s="946"/>
      <c r="E173" s="945"/>
      <c r="F173" s="946"/>
      <c r="G173" s="945"/>
      <c r="H173" s="946"/>
      <c r="I173" s="945"/>
      <c r="J173" s="946"/>
      <c r="K173" s="945"/>
      <c r="L173" s="948"/>
      <c r="M173" s="2"/>
    </row>
    <row r="174" spans="1:19" x14ac:dyDescent="0.35">
      <c r="B174" s="630" t="str">
        <f>IF(Intro!$G$21="English",O174,P174)</f>
        <v>Prix offert ($/mètre)</v>
      </c>
      <c r="C174" s="943"/>
      <c r="D174" s="944"/>
      <c r="E174" s="943"/>
      <c r="F174" s="944"/>
      <c r="G174" s="943"/>
      <c r="H174" s="944"/>
      <c r="I174" s="943"/>
      <c r="J174" s="944"/>
      <c r="K174" s="943"/>
      <c r="L174" s="947"/>
      <c r="M174" s="2"/>
      <c r="O174" s="2" t="str">
        <f>"Price Offered ($/"&amp;Variables!B24&amp;")"</f>
        <v>Price Offered ($/metre)</v>
      </c>
      <c r="P174" s="2" t="str">
        <f>"Prix offert ($/"&amp;Variables!C24&amp;")"</f>
        <v>Prix offert ($/mètre)</v>
      </c>
    </row>
    <row r="175" spans="1:19" x14ac:dyDescent="0.35">
      <c r="B175" s="952"/>
      <c r="C175" s="945"/>
      <c r="D175" s="946"/>
      <c r="E175" s="945"/>
      <c r="F175" s="946"/>
      <c r="G175" s="945"/>
      <c r="H175" s="946"/>
      <c r="I175" s="945"/>
      <c r="J175" s="946"/>
      <c r="K175" s="945"/>
      <c r="L175" s="948"/>
      <c r="M175" s="2"/>
    </row>
    <row r="176" spans="1:19" ht="14" customHeight="1" x14ac:dyDescent="0.35">
      <c r="B176" s="958" t="str">
        <f>IF(Intro!$G$21="English",O176,P176)</f>
        <v>Prix de la transaction ($/mètre)</v>
      </c>
      <c r="C176" s="961"/>
      <c r="D176" s="961"/>
      <c r="E176" s="961"/>
      <c r="F176" s="961"/>
      <c r="G176" s="961"/>
      <c r="H176" s="961"/>
      <c r="I176" s="961"/>
      <c r="J176" s="961"/>
      <c r="K176" s="961"/>
      <c r="L176" s="961"/>
      <c r="M176" s="2"/>
      <c r="O176" s="2" t="str">
        <f>"Transaction Price ($/"&amp;Variables!B24&amp;")"</f>
        <v>Transaction Price ($/metre)</v>
      </c>
      <c r="P176" s="2" t="str">
        <f>"Prix de la transaction ($/"&amp;Variables!C24&amp;")"</f>
        <v>Prix de la transaction ($/mètre)</v>
      </c>
    </row>
    <row r="177" spans="1:16" x14ac:dyDescent="0.35">
      <c r="B177" s="959"/>
      <c r="C177" s="962"/>
      <c r="D177" s="962"/>
      <c r="E177" s="962"/>
      <c r="F177" s="962"/>
      <c r="G177" s="962"/>
      <c r="H177" s="962"/>
      <c r="I177" s="962"/>
      <c r="J177" s="962"/>
      <c r="K177" s="962"/>
      <c r="L177" s="962"/>
      <c r="M177" s="2"/>
    </row>
    <row r="178" spans="1:16" x14ac:dyDescent="0.35">
      <c r="B178" s="960"/>
      <c r="C178" s="963"/>
      <c r="D178" s="963"/>
      <c r="E178" s="963"/>
      <c r="F178" s="963"/>
      <c r="G178" s="963"/>
      <c r="H178" s="963"/>
      <c r="I178" s="963"/>
      <c r="J178" s="963"/>
      <c r="K178" s="963"/>
      <c r="L178" s="963"/>
      <c r="M178" s="2"/>
    </row>
    <row r="179" spans="1:16" s="3" customFormat="1" x14ac:dyDescent="0.35">
      <c r="A179" s="12"/>
      <c r="B179" s="940" t="str">
        <f>IF(Intro!$G$21="English",O179,P179)</f>
        <v>Offre du concurrent</v>
      </c>
      <c r="C179" s="788"/>
      <c r="D179" s="941"/>
      <c r="E179" s="941"/>
      <c r="F179" s="941"/>
      <c r="G179" s="941"/>
      <c r="H179" s="941"/>
      <c r="I179" s="941"/>
      <c r="J179" s="941"/>
      <c r="K179" s="941"/>
      <c r="L179" s="942"/>
      <c r="O179" s="4" t="s">
        <v>139</v>
      </c>
      <c r="P179" s="3" t="s">
        <v>270</v>
      </c>
    </row>
    <row r="180" spans="1:16" x14ac:dyDescent="0.35">
      <c r="B180" s="630" t="str">
        <f>IF(Intro!$G$21="English",O180,P180)</f>
        <v>Nom du concurrent (LD)</v>
      </c>
      <c r="C180" s="943"/>
      <c r="D180" s="944"/>
      <c r="E180" s="943"/>
      <c r="F180" s="944"/>
      <c r="G180" s="943"/>
      <c r="H180" s="944"/>
      <c r="I180" s="943"/>
      <c r="J180" s="944"/>
      <c r="K180" s="943"/>
      <c r="L180" s="947"/>
      <c r="M180" s="2"/>
      <c r="O180" s="2" t="s">
        <v>271</v>
      </c>
      <c r="P180" s="2" t="s">
        <v>272</v>
      </c>
    </row>
    <row r="181" spans="1:16" x14ac:dyDescent="0.35">
      <c r="B181" s="634"/>
      <c r="C181" s="945"/>
      <c r="D181" s="946"/>
      <c r="E181" s="945"/>
      <c r="F181" s="946"/>
      <c r="G181" s="945"/>
      <c r="H181" s="946"/>
      <c r="I181" s="945"/>
      <c r="J181" s="946"/>
      <c r="K181" s="945"/>
      <c r="L181" s="948"/>
      <c r="M181" s="2"/>
    </row>
    <row r="182" spans="1:16" x14ac:dyDescent="0.35">
      <c r="B182" s="630" t="str">
        <f>IF(Intro!$G$21="English",O182,P182)</f>
        <v>Description du produit (P)</v>
      </c>
      <c r="C182" s="943"/>
      <c r="D182" s="944"/>
      <c r="E182" s="943"/>
      <c r="F182" s="944"/>
      <c r="G182" s="943"/>
      <c r="H182" s="944"/>
      <c r="I182" s="943"/>
      <c r="J182" s="944"/>
      <c r="K182" s="943"/>
      <c r="L182" s="947"/>
      <c r="M182" s="2"/>
      <c r="O182" s="2" t="s">
        <v>142</v>
      </c>
      <c r="P182" s="2" t="s">
        <v>143</v>
      </c>
    </row>
    <row r="183" spans="1:16" x14ac:dyDescent="0.35">
      <c r="B183" s="632"/>
      <c r="C183" s="949"/>
      <c r="D183" s="950"/>
      <c r="E183" s="949"/>
      <c r="F183" s="950"/>
      <c r="G183" s="949"/>
      <c r="H183" s="950"/>
      <c r="I183" s="949"/>
      <c r="J183" s="950"/>
      <c r="K183" s="949"/>
      <c r="L183" s="951"/>
      <c r="M183" s="2"/>
    </row>
    <row r="184" spans="1:16" x14ac:dyDescent="0.35">
      <c r="B184" s="632"/>
      <c r="C184" s="949"/>
      <c r="D184" s="950"/>
      <c r="E184" s="949"/>
      <c r="F184" s="950"/>
      <c r="G184" s="949"/>
      <c r="H184" s="950"/>
      <c r="I184" s="949"/>
      <c r="J184" s="950"/>
      <c r="K184" s="949"/>
      <c r="L184" s="951"/>
      <c r="M184" s="2"/>
    </row>
    <row r="185" spans="1:16" x14ac:dyDescent="0.35">
      <c r="B185" s="634"/>
      <c r="C185" s="945"/>
      <c r="D185" s="946"/>
      <c r="E185" s="945"/>
      <c r="F185" s="946"/>
      <c r="G185" s="945"/>
      <c r="H185" s="946"/>
      <c r="I185" s="945"/>
      <c r="J185" s="946"/>
      <c r="K185" s="945"/>
      <c r="L185" s="948"/>
      <c r="M185" s="2"/>
    </row>
    <row r="186" spans="1:16" x14ac:dyDescent="0.35">
      <c r="B186" s="630" t="str">
        <f>IF(Intro!$G$21="English",O186,P186)</f>
        <v>Pays d'origine (P)</v>
      </c>
      <c r="C186" s="943"/>
      <c r="D186" s="944"/>
      <c r="E186" s="943"/>
      <c r="F186" s="944"/>
      <c r="G186" s="943"/>
      <c r="H186" s="944"/>
      <c r="I186" s="943"/>
      <c r="J186" s="944"/>
      <c r="K186" s="943"/>
      <c r="L186" s="947"/>
      <c r="M186" s="2"/>
      <c r="O186" s="2" t="s">
        <v>146</v>
      </c>
      <c r="P186" s="2" t="s">
        <v>147</v>
      </c>
    </row>
    <row r="187" spans="1:16" x14ac:dyDescent="0.35">
      <c r="B187" s="634"/>
      <c r="C187" s="945"/>
      <c r="D187" s="946"/>
      <c r="E187" s="945"/>
      <c r="F187" s="946"/>
      <c r="G187" s="945"/>
      <c r="H187" s="946"/>
      <c r="I187" s="945"/>
      <c r="J187" s="946"/>
      <c r="K187" s="945"/>
      <c r="L187" s="948"/>
      <c r="M187" s="2"/>
    </row>
    <row r="188" spans="1:16" x14ac:dyDescent="0.35">
      <c r="B188" s="630" t="str">
        <f>IF(Intro!$G$21="English",O188,P188)</f>
        <v>Volume offert (mètres)</v>
      </c>
      <c r="C188" s="943"/>
      <c r="D188" s="944"/>
      <c r="E188" s="943"/>
      <c r="F188" s="944"/>
      <c r="G188" s="943"/>
      <c r="H188" s="944"/>
      <c r="I188" s="943"/>
      <c r="J188" s="944"/>
      <c r="K188" s="943"/>
      <c r="L188" s="947"/>
      <c r="M188" s="2"/>
      <c r="O188" s="2" t="str">
        <f>"Volume Offered ("&amp;Variables!B23&amp;")"</f>
        <v>Volume Offered (metres)</v>
      </c>
      <c r="P188" s="2" t="str">
        <f>"Volume offert ("&amp;Variables!C23&amp;")"</f>
        <v>Volume offert (mètres)</v>
      </c>
    </row>
    <row r="189" spans="1:16" x14ac:dyDescent="0.35">
      <c r="B189" s="634"/>
      <c r="C189" s="945"/>
      <c r="D189" s="946"/>
      <c r="E189" s="945"/>
      <c r="F189" s="946"/>
      <c r="G189" s="945"/>
      <c r="H189" s="946"/>
      <c r="I189" s="945"/>
      <c r="J189" s="946"/>
      <c r="K189" s="945"/>
      <c r="L189" s="948"/>
      <c r="M189" s="2"/>
    </row>
    <row r="190" spans="1:16" x14ac:dyDescent="0.35">
      <c r="B190" s="630" t="str">
        <f>IF(Intro!$G$21="English",O190,P190)</f>
        <v>Volume vendu (mètres)</v>
      </c>
      <c r="C190" s="943"/>
      <c r="D190" s="944"/>
      <c r="E190" s="943"/>
      <c r="F190" s="944"/>
      <c r="G190" s="943"/>
      <c r="H190" s="944"/>
      <c r="I190" s="943"/>
      <c r="J190" s="944"/>
      <c r="K190" s="943"/>
      <c r="L190" s="947"/>
      <c r="M190" s="2"/>
      <c r="O190" s="2" t="str">
        <f>"Volume Sold ("&amp;Variables!B23&amp;")"</f>
        <v>Volume Sold (metres)</v>
      </c>
      <c r="P190" s="2" t="str">
        <f>"Volume vendu ("&amp;Variables!C23&amp;")"</f>
        <v>Volume vendu (mètres)</v>
      </c>
    </row>
    <row r="191" spans="1:16" x14ac:dyDescent="0.35">
      <c r="B191" s="634"/>
      <c r="C191" s="945"/>
      <c r="D191" s="946"/>
      <c r="E191" s="945"/>
      <c r="F191" s="946"/>
      <c r="G191" s="945"/>
      <c r="H191" s="946"/>
      <c r="I191" s="945"/>
      <c r="J191" s="946"/>
      <c r="K191" s="945"/>
      <c r="L191" s="948"/>
      <c r="M191" s="2"/>
    </row>
    <row r="192" spans="1:16" x14ac:dyDescent="0.35">
      <c r="B192" s="630" t="str">
        <f>IF(Intro!$G$21="English",O192,P192)</f>
        <v>Prix offert ($/mètre)</v>
      </c>
      <c r="C192" s="943"/>
      <c r="D192" s="944"/>
      <c r="E192" s="943"/>
      <c r="F192" s="944"/>
      <c r="G192" s="943"/>
      <c r="H192" s="944"/>
      <c r="I192" s="943"/>
      <c r="J192" s="944"/>
      <c r="K192" s="943"/>
      <c r="L192" s="947"/>
      <c r="M192" s="2"/>
      <c r="O192" s="2" t="str">
        <f>"Price Offered ($/"&amp;Variables!B24&amp;")"</f>
        <v>Price Offered ($/metre)</v>
      </c>
      <c r="P192" s="2" t="str">
        <f>"Prix offert ($/"&amp;Variables!C24&amp;")"</f>
        <v>Prix offert ($/mètre)</v>
      </c>
    </row>
    <row r="193" spans="1:16" x14ac:dyDescent="0.35">
      <c r="B193" s="634"/>
      <c r="C193" s="945"/>
      <c r="D193" s="946"/>
      <c r="E193" s="945"/>
      <c r="F193" s="946"/>
      <c r="G193" s="945"/>
      <c r="H193" s="946"/>
      <c r="I193" s="945"/>
      <c r="J193" s="946"/>
      <c r="K193" s="945"/>
      <c r="L193" s="948"/>
      <c r="M193" s="2"/>
    </row>
    <row r="194" spans="1:16" ht="14" customHeight="1" x14ac:dyDescent="0.35">
      <c r="B194" s="958" t="str">
        <f>IF(Intro!$G$21="English",O194,P194)</f>
        <v>Prix de la transaction ($/mètre)</v>
      </c>
      <c r="C194" s="961"/>
      <c r="D194" s="961"/>
      <c r="E194" s="961"/>
      <c r="F194" s="961"/>
      <c r="G194" s="961"/>
      <c r="H194" s="961"/>
      <c r="I194" s="961"/>
      <c r="J194" s="961"/>
      <c r="K194" s="961"/>
      <c r="L194" s="961"/>
      <c r="M194" s="2"/>
      <c r="O194" s="2" t="str">
        <f>"Transaction Price ($/"&amp;Variables!B24&amp;")"</f>
        <v>Transaction Price ($/metre)</v>
      </c>
      <c r="P194" s="2" t="str">
        <f>"Prix de la transaction ($/"&amp;Variables!C24&amp;")"</f>
        <v>Prix de la transaction ($/mètre)</v>
      </c>
    </row>
    <row r="195" spans="1:16" x14ac:dyDescent="0.35">
      <c r="B195" s="959"/>
      <c r="C195" s="962"/>
      <c r="D195" s="962"/>
      <c r="E195" s="962"/>
      <c r="F195" s="962"/>
      <c r="G195" s="962"/>
      <c r="H195" s="962"/>
      <c r="I195" s="962"/>
      <c r="J195" s="962"/>
      <c r="K195" s="962"/>
      <c r="L195" s="962"/>
      <c r="M195" s="2"/>
    </row>
    <row r="196" spans="1:16" x14ac:dyDescent="0.35">
      <c r="B196" s="960"/>
      <c r="C196" s="963"/>
      <c r="D196" s="963"/>
      <c r="E196" s="963"/>
      <c r="F196" s="963"/>
      <c r="G196" s="963"/>
      <c r="H196" s="963"/>
      <c r="I196" s="963"/>
      <c r="J196" s="963"/>
      <c r="K196" s="963"/>
      <c r="L196" s="963"/>
      <c r="M196" s="2"/>
    </row>
    <row r="197" spans="1:16" x14ac:dyDescent="0.35">
      <c r="B197" s="159"/>
      <c r="C197" s="160"/>
      <c r="D197" s="26"/>
      <c r="E197" s="26"/>
      <c r="F197" s="26"/>
      <c r="G197" s="26"/>
      <c r="H197" s="26"/>
      <c r="I197" s="26"/>
      <c r="J197" s="26"/>
      <c r="K197" s="26"/>
      <c r="L197" s="27"/>
      <c r="M197" s="2"/>
      <c r="O197" s="11"/>
    </row>
    <row r="198" spans="1:16" x14ac:dyDescent="0.35">
      <c r="B198" s="218" t="str">
        <f>B152</f>
        <v>Allegation</v>
      </c>
      <c r="C198" s="956">
        <v>6</v>
      </c>
      <c r="D198" s="957"/>
      <c r="E198" s="953">
        <v>7</v>
      </c>
      <c r="F198" s="954"/>
      <c r="G198" s="953">
        <v>8</v>
      </c>
      <c r="H198" s="954"/>
      <c r="I198" s="953">
        <v>9</v>
      </c>
      <c r="J198" s="954"/>
      <c r="K198" s="953">
        <v>10</v>
      </c>
      <c r="L198" s="955"/>
      <c r="M198" s="2"/>
      <c r="O198" s="11"/>
    </row>
    <row r="199" spans="1:16" s="3" customFormat="1" x14ac:dyDescent="0.35">
      <c r="A199" s="18"/>
      <c r="B199" s="940" t="str">
        <f>B153</f>
        <v>Renseignements généraux</v>
      </c>
      <c r="C199" s="788"/>
      <c r="D199" s="941"/>
      <c r="E199" s="941"/>
      <c r="F199" s="941"/>
      <c r="G199" s="941"/>
      <c r="H199" s="941"/>
      <c r="I199" s="941"/>
      <c r="J199" s="941"/>
      <c r="K199" s="941"/>
      <c r="L199" s="942"/>
      <c r="O199" s="4"/>
    </row>
    <row r="200" spans="1:16" x14ac:dyDescent="0.35">
      <c r="B200" s="630" t="str">
        <f>B154</f>
        <v>Nom du client (LD)</v>
      </c>
      <c r="C200" s="943"/>
      <c r="D200" s="944"/>
      <c r="E200" s="943"/>
      <c r="F200" s="944"/>
      <c r="G200" s="943"/>
      <c r="H200" s="944"/>
      <c r="I200" s="943"/>
      <c r="J200" s="944"/>
      <c r="K200" s="943"/>
      <c r="L200" s="947"/>
      <c r="M200" s="2"/>
    </row>
    <row r="201" spans="1:16" x14ac:dyDescent="0.35">
      <c r="B201" s="634"/>
      <c r="C201" s="945"/>
      <c r="D201" s="946"/>
      <c r="E201" s="945"/>
      <c r="F201" s="946"/>
      <c r="G201" s="945"/>
      <c r="H201" s="946"/>
      <c r="I201" s="945"/>
      <c r="J201" s="946"/>
      <c r="K201" s="945"/>
      <c r="L201" s="948"/>
      <c r="M201" s="2"/>
    </row>
    <row r="202" spans="1:16" x14ac:dyDescent="0.35">
      <c r="B202" s="630" t="str">
        <f>B156</f>
        <v>Adresse (LD)</v>
      </c>
      <c r="C202" s="943"/>
      <c r="D202" s="944"/>
      <c r="E202" s="943"/>
      <c r="F202" s="944"/>
      <c r="G202" s="943"/>
      <c r="H202" s="944"/>
      <c r="I202" s="943"/>
      <c r="J202" s="944"/>
      <c r="K202" s="943"/>
      <c r="L202" s="947"/>
      <c r="M202" s="2"/>
    </row>
    <row r="203" spans="1:16" x14ac:dyDescent="0.35">
      <c r="B203" s="634"/>
      <c r="C203" s="945"/>
      <c r="D203" s="946"/>
      <c r="E203" s="945"/>
      <c r="F203" s="946"/>
      <c r="G203" s="945"/>
      <c r="H203" s="946"/>
      <c r="I203" s="945"/>
      <c r="J203" s="946"/>
      <c r="K203" s="945"/>
      <c r="L203" s="948"/>
      <c r="M203" s="2"/>
    </row>
    <row r="204" spans="1:16" x14ac:dyDescent="0.35">
      <c r="B204" s="630" t="str">
        <f>B158</f>
        <v>Niveau commercial (LD)</v>
      </c>
      <c r="C204" s="943"/>
      <c r="D204" s="944"/>
      <c r="E204" s="943"/>
      <c r="F204" s="944"/>
      <c r="G204" s="943"/>
      <c r="H204" s="944"/>
      <c r="I204" s="943"/>
      <c r="J204" s="944"/>
      <c r="K204" s="943"/>
      <c r="L204" s="947"/>
      <c r="M204" s="2"/>
    </row>
    <row r="205" spans="1:16" x14ac:dyDescent="0.35">
      <c r="B205" s="634"/>
      <c r="C205" s="945"/>
      <c r="D205" s="946"/>
      <c r="E205" s="945"/>
      <c r="F205" s="946"/>
      <c r="G205" s="945"/>
      <c r="H205" s="946"/>
      <c r="I205" s="945"/>
      <c r="J205" s="946"/>
      <c r="K205" s="945"/>
      <c r="L205" s="948"/>
      <c r="M205" s="2"/>
    </row>
    <row r="206" spans="1:16" x14ac:dyDescent="0.35">
      <c r="B206" s="630" t="str">
        <f>B160</f>
        <v>Nature du dommage allégué (P)</v>
      </c>
      <c r="C206" s="943"/>
      <c r="D206" s="944"/>
      <c r="E206" s="943"/>
      <c r="F206" s="944"/>
      <c r="G206" s="943"/>
      <c r="H206" s="944"/>
      <c r="I206" s="943"/>
      <c r="J206" s="944"/>
      <c r="K206" s="943"/>
      <c r="L206" s="947"/>
      <c r="M206" s="2"/>
    </row>
    <row r="207" spans="1:16" x14ac:dyDescent="0.35">
      <c r="B207" s="632"/>
      <c r="C207" s="949"/>
      <c r="D207" s="950"/>
      <c r="E207" s="949"/>
      <c r="F207" s="950"/>
      <c r="G207" s="949"/>
      <c r="H207" s="950"/>
      <c r="I207" s="949"/>
      <c r="J207" s="950"/>
      <c r="K207" s="949"/>
      <c r="L207" s="951"/>
      <c r="M207" s="2"/>
    </row>
    <row r="208" spans="1:16" x14ac:dyDescent="0.35">
      <c r="B208" s="634"/>
      <c r="C208" s="945"/>
      <c r="D208" s="946"/>
      <c r="E208" s="945"/>
      <c r="F208" s="946"/>
      <c r="G208" s="945"/>
      <c r="H208" s="946"/>
      <c r="I208" s="945"/>
      <c r="J208" s="946"/>
      <c r="K208" s="945"/>
      <c r="L208" s="948"/>
      <c r="M208" s="2"/>
    </row>
    <row r="209" spans="1:19" s="3" customFormat="1" x14ac:dyDescent="0.35">
      <c r="A209" s="12"/>
      <c r="B209" s="940" t="str">
        <f>B163</f>
        <v>Offre du producteur national</v>
      </c>
      <c r="C209" s="788"/>
      <c r="D209" s="941"/>
      <c r="E209" s="941"/>
      <c r="F209" s="941"/>
      <c r="G209" s="941"/>
      <c r="H209" s="941"/>
      <c r="I209" s="941"/>
      <c r="J209" s="941"/>
      <c r="K209" s="941"/>
      <c r="L209" s="942"/>
      <c r="O209" s="4"/>
      <c r="P209" s="4"/>
      <c r="Q209" s="4"/>
      <c r="R209" s="4"/>
      <c r="S209" s="4"/>
    </row>
    <row r="210" spans="1:19" x14ac:dyDescent="0.35">
      <c r="B210" s="630" t="str">
        <f>B164</f>
        <v>Description du produit (P)</v>
      </c>
      <c r="C210" s="943"/>
      <c r="D210" s="944"/>
      <c r="E210" s="943"/>
      <c r="F210" s="944"/>
      <c r="G210" s="943"/>
      <c r="H210" s="944"/>
      <c r="I210" s="943"/>
      <c r="J210" s="944"/>
      <c r="K210" s="943"/>
      <c r="L210" s="947"/>
      <c r="M210" s="2"/>
    </row>
    <row r="211" spans="1:19" x14ac:dyDescent="0.35">
      <c r="B211" s="632"/>
      <c r="C211" s="949"/>
      <c r="D211" s="950"/>
      <c r="E211" s="949"/>
      <c r="F211" s="950"/>
      <c r="G211" s="949"/>
      <c r="H211" s="950"/>
      <c r="I211" s="949"/>
      <c r="J211" s="950"/>
      <c r="K211" s="949"/>
      <c r="L211" s="951"/>
      <c r="M211" s="2"/>
    </row>
    <row r="212" spans="1:19" x14ac:dyDescent="0.35">
      <c r="B212" s="632"/>
      <c r="C212" s="949"/>
      <c r="D212" s="950"/>
      <c r="E212" s="949"/>
      <c r="F212" s="950"/>
      <c r="G212" s="949"/>
      <c r="H212" s="950"/>
      <c r="I212" s="949"/>
      <c r="J212" s="950"/>
      <c r="K212" s="949"/>
      <c r="L212" s="951"/>
      <c r="M212" s="2"/>
    </row>
    <row r="213" spans="1:19" x14ac:dyDescent="0.35">
      <c r="B213" s="634"/>
      <c r="C213" s="945"/>
      <c r="D213" s="946"/>
      <c r="E213" s="945"/>
      <c r="F213" s="946"/>
      <c r="G213" s="945"/>
      <c r="H213" s="946"/>
      <c r="I213" s="945"/>
      <c r="J213" s="946"/>
      <c r="K213" s="945"/>
      <c r="L213" s="948"/>
      <c r="M213" s="2"/>
    </row>
    <row r="214" spans="1:19" x14ac:dyDescent="0.35">
      <c r="B214" s="630" t="str">
        <f>B168</f>
        <v>Date de la transaction (P)</v>
      </c>
      <c r="C214" s="943"/>
      <c r="D214" s="944"/>
      <c r="E214" s="943"/>
      <c r="F214" s="944"/>
      <c r="G214" s="943"/>
      <c r="H214" s="944"/>
      <c r="I214" s="943"/>
      <c r="J214" s="944"/>
      <c r="K214" s="943"/>
      <c r="L214" s="947"/>
      <c r="M214" s="2"/>
    </row>
    <row r="215" spans="1:19" x14ac:dyDescent="0.35">
      <c r="B215" s="634"/>
      <c r="C215" s="945"/>
      <c r="D215" s="946"/>
      <c r="E215" s="945"/>
      <c r="F215" s="946"/>
      <c r="G215" s="945"/>
      <c r="H215" s="946"/>
      <c r="I215" s="945"/>
      <c r="J215" s="946"/>
      <c r="K215" s="945"/>
      <c r="L215" s="948"/>
      <c r="M215" s="2"/>
    </row>
    <row r="216" spans="1:19" x14ac:dyDescent="0.35">
      <c r="B216" s="630" t="str">
        <f>B170</f>
        <v>Volume offert (mètres)</v>
      </c>
      <c r="C216" s="943"/>
      <c r="D216" s="944"/>
      <c r="E216" s="943"/>
      <c r="F216" s="944"/>
      <c r="G216" s="943"/>
      <c r="H216" s="944"/>
      <c r="I216" s="943"/>
      <c r="J216" s="944"/>
      <c r="K216" s="943"/>
      <c r="L216" s="947"/>
      <c r="M216" s="2"/>
    </row>
    <row r="217" spans="1:19" x14ac:dyDescent="0.35">
      <c r="B217" s="634"/>
      <c r="C217" s="945"/>
      <c r="D217" s="946"/>
      <c r="E217" s="945"/>
      <c r="F217" s="946"/>
      <c r="G217" s="945"/>
      <c r="H217" s="946"/>
      <c r="I217" s="945"/>
      <c r="J217" s="946"/>
      <c r="K217" s="945"/>
      <c r="L217" s="948"/>
      <c r="M217" s="2"/>
    </row>
    <row r="218" spans="1:19" x14ac:dyDescent="0.35">
      <c r="B218" s="630" t="str">
        <f>B172</f>
        <v>Volume vendu (mètres)</v>
      </c>
      <c r="C218" s="943"/>
      <c r="D218" s="944"/>
      <c r="E218" s="943"/>
      <c r="F218" s="944"/>
      <c r="G218" s="943"/>
      <c r="H218" s="944"/>
      <c r="I218" s="943"/>
      <c r="J218" s="944"/>
      <c r="K218" s="943"/>
      <c r="L218" s="947"/>
      <c r="M218" s="2"/>
    </row>
    <row r="219" spans="1:19" x14ac:dyDescent="0.35">
      <c r="B219" s="634"/>
      <c r="C219" s="945"/>
      <c r="D219" s="946"/>
      <c r="E219" s="945"/>
      <c r="F219" s="946"/>
      <c r="G219" s="945"/>
      <c r="H219" s="946"/>
      <c r="I219" s="945"/>
      <c r="J219" s="946"/>
      <c r="K219" s="945"/>
      <c r="L219" s="948"/>
      <c r="M219" s="2"/>
    </row>
    <row r="220" spans="1:19" x14ac:dyDescent="0.35">
      <c r="B220" s="630" t="str">
        <f t="shared" ref="B220" si="0">B174</f>
        <v>Prix offert ($/mètre)</v>
      </c>
      <c r="C220" s="943"/>
      <c r="D220" s="944"/>
      <c r="E220" s="943"/>
      <c r="F220" s="944"/>
      <c r="G220" s="943"/>
      <c r="H220" s="944"/>
      <c r="I220" s="943"/>
      <c r="J220" s="944"/>
      <c r="K220" s="943"/>
      <c r="L220" s="947"/>
      <c r="M220" s="2"/>
    </row>
    <row r="221" spans="1:19" x14ac:dyDescent="0.35">
      <c r="B221" s="634"/>
      <c r="C221" s="945"/>
      <c r="D221" s="946"/>
      <c r="E221" s="945"/>
      <c r="F221" s="946"/>
      <c r="G221" s="945"/>
      <c r="H221" s="946"/>
      <c r="I221" s="945"/>
      <c r="J221" s="946"/>
      <c r="K221" s="945"/>
      <c r="L221" s="948"/>
      <c r="M221" s="2"/>
    </row>
    <row r="222" spans="1:19" ht="14" customHeight="1" x14ac:dyDescent="0.35">
      <c r="B222" s="958" t="str">
        <f>B176</f>
        <v>Prix de la transaction ($/mètre)</v>
      </c>
      <c r="C222" s="964"/>
      <c r="D222" s="965"/>
      <c r="E222" s="964"/>
      <c r="F222" s="965"/>
      <c r="G222" s="964"/>
      <c r="H222" s="965"/>
      <c r="I222" s="964"/>
      <c r="J222" s="965"/>
      <c r="K222" s="964"/>
      <c r="L222" s="970"/>
      <c r="M222" s="2"/>
    </row>
    <row r="223" spans="1:19" x14ac:dyDescent="0.35">
      <c r="B223" s="959"/>
      <c r="C223" s="966"/>
      <c r="D223" s="967"/>
      <c r="E223" s="966"/>
      <c r="F223" s="967"/>
      <c r="G223" s="966"/>
      <c r="H223" s="967"/>
      <c r="I223" s="966"/>
      <c r="J223" s="967"/>
      <c r="K223" s="966"/>
      <c r="L223" s="971"/>
      <c r="M223" s="2"/>
    </row>
    <row r="224" spans="1:19" x14ac:dyDescent="0.35">
      <c r="B224" s="960"/>
      <c r="C224" s="968"/>
      <c r="D224" s="969"/>
      <c r="E224" s="968"/>
      <c r="F224" s="969"/>
      <c r="G224" s="968"/>
      <c r="H224" s="969"/>
      <c r="I224" s="968"/>
      <c r="J224" s="969"/>
      <c r="K224" s="968"/>
      <c r="L224" s="972"/>
      <c r="M224" s="2"/>
    </row>
    <row r="225" spans="1:15" s="3" customFormat="1" x14ac:dyDescent="0.35">
      <c r="A225" s="12"/>
      <c r="B225" s="940" t="str">
        <f>B179</f>
        <v>Offre du concurrent</v>
      </c>
      <c r="C225" s="788"/>
      <c r="D225" s="941"/>
      <c r="E225" s="941"/>
      <c r="F225" s="941"/>
      <c r="G225" s="941"/>
      <c r="H225" s="941"/>
      <c r="I225" s="941"/>
      <c r="J225" s="941"/>
      <c r="K225" s="941"/>
      <c r="L225" s="942"/>
      <c r="O225" s="4"/>
    </row>
    <row r="226" spans="1:15" x14ac:dyDescent="0.35">
      <c r="B226" s="630" t="str">
        <f>B180</f>
        <v>Nom du concurrent (LD)</v>
      </c>
      <c r="C226" s="943"/>
      <c r="D226" s="944"/>
      <c r="E226" s="943"/>
      <c r="F226" s="944"/>
      <c r="G226" s="943"/>
      <c r="H226" s="944"/>
      <c r="I226" s="943"/>
      <c r="J226" s="944"/>
      <c r="K226" s="943"/>
      <c r="L226" s="947"/>
      <c r="M226" s="2"/>
    </row>
    <row r="227" spans="1:15" x14ac:dyDescent="0.35">
      <c r="B227" s="634"/>
      <c r="C227" s="945"/>
      <c r="D227" s="946"/>
      <c r="E227" s="945"/>
      <c r="F227" s="946"/>
      <c r="G227" s="945"/>
      <c r="H227" s="946"/>
      <c r="I227" s="945"/>
      <c r="J227" s="946"/>
      <c r="K227" s="945"/>
      <c r="L227" s="948"/>
      <c r="M227" s="2"/>
    </row>
    <row r="228" spans="1:15" x14ac:dyDescent="0.35">
      <c r="B228" s="630" t="str">
        <f>B182</f>
        <v>Description du produit (P)</v>
      </c>
      <c r="C228" s="943"/>
      <c r="D228" s="944"/>
      <c r="E228" s="943"/>
      <c r="F228" s="944"/>
      <c r="G228" s="943"/>
      <c r="H228" s="944"/>
      <c r="I228" s="943"/>
      <c r="J228" s="944"/>
      <c r="K228" s="943"/>
      <c r="L228" s="947"/>
      <c r="M228" s="2"/>
    </row>
    <row r="229" spans="1:15" x14ac:dyDescent="0.35">
      <c r="B229" s="632"/>
      <c r="C229" s="949"/>
      <c r="D229" s="950"/>
      <c r="E229" s="949"/>
      <c r="F229" s="950"/>
      <c r="G229" s="949"/>
      <c r="H229" s="950"/>
      <c r="I229" s="949"/>
      <c r="J229" s="950"/>
      <c r="K229" s="949"/>
      <c r="L229" s="951"/>
      <c r="M229" s="2"/>
    </row>
    <row r="230" spans="1:15" x14ac:dyDescent="0.35">
      <c r="B230" s="632"/>
      <c r="C230" s="949"/>
      <c r="D230" s="950"/>
      <c r="E230" s="949"/>
      <c r="F230" s="950"/>
      <c r="G230" s="949"/>
      <c r="H230" s="950"/>
      <c r="I230" s="949"/>
      <c r="J230" s="950"/>
      <c r="K230" s="949"/>
      <c r="L230" s="951"/>
      <c r="M230" s="2"/>
    </row>
    <row r="231" spans="1:15" x14ac:dyDescent="0.35">
      <c r="B231" s="634"/>
      <c r="C231" s="945"/>
      <c r="D231" s="946"/>
      <c r="E231" s="945"/>
      <c r="F231" s="946"/>
      <c r="G231" s="945"/>
      <c r="H231" s="946"/>
      <c r="I231" s="945"/>
      <c r="J231" s="946"/>
      <c r="K231" s="945"/>
      <c r="L231" s="948"/>
      <c r="M231" s="2"/>
    </row>
    <row r="232" spans="1:15" x14ac:dyDescent="0.35">
      <c r="B232" s="630" t="str">
        <f>B186</f>
        <v>Pays d'origine (P)</v>
      </c>
      <c r="C232" s="943"/>
      <c r="D232" s="944"/>
      <c r="E232" s="943"/>
      <c r="F232" s="944"/>
      <c r="G232" s="943"/>
      <c r="H232" s="944"/>
      <c r="I232" s="943"/>
      <c r="J232" s="944"/>
      <c r="K232" s="943"/>
      <c r="L232" s="947"/>
      <c r="M232" s="2"/>
    </row>
    <row r="233" spans="1:15" x14ac:dyDescent="0.35">
      <c r="B233" s="634"/>
      <c r="C233" s="945"/>
      <c r="D233" s="946"/>
      <c r="E233" s="945"/>
      <c r="F233" s="946"/>
      <c r="G233" s="945"/>
      <c r="H233" s="946"/>
      <c r="I233" s="945"/>
      <c r="J233" s="946"/>
      <c r="K233" s="945"/>
      <c r="L233" s="948"/>
      <c r="M233" s="2"/>
    </row>
    <row r="234" spans="1:15" x14ac:dyDescent="0.35">
      <c r="B234" s="630" t="str">
        <f>B188</f>
        <v>Volume offert (mètres)</v>
      </c>
      <c r="C234" s="943"/>
      <c r="D234" s="944"/>
      <c r="E234" s="943"/>
      <c r="F234" s="944"/>
      <c r="G234" s="943"/>
      <c r="H234" s="944"/>
      <c r="I234" s="943"/>
      <c r="J234" s="944"/>
      <c r="K234" s="943"/>
      <c r="L234" s="947"/>
      <c r="M234" s="2"/>
    </row>
    <row r="235" spans="1:15" x14ac:dyDescent="0.35">
      <c r="B235" s="634"/>
      <c r="C235" s="945"/>
      <c r="D235" s="946"/>
      <c r="E235" s="945"/>
      <c r="F235" s="946"/>
      <c r="G235" s="945"/>
      <c r="H235" s="946"/>
      <c r="I235" s="945"/>
      <c r="J235" s="946"/>
      <c r="K235" s="945"/>
      <c r="L235" s="948"/>
      <c r="M235" s="2"/>
    </row>
    <row r="236" spans="1:15" x14ac:dyDescent="0.35">
      <c r="B236" s="630" t="str">
        <f>B190</f>
        <v>Volume vendu (mètres)</v>
      </c>
      <c r="C236" s="943"/>
      <c r="D236" s="944"/>
      <c r="E236" s="943"/>
      <c r="F236" s="944"/>
      <c r="G236" s="943"/>
      <c r="H236" s="944"/>
      <c r="I236" s="943"/>
      <c r="J236" s="944"/>
      <c r="K236" s="943"/>
      <c r="L236" s="947"/>
      <c r="M236" s="2"/>
    </row>
    <row r="237" spans="1:15" x14ac:dyDescent="0.35">
      <c r="B237" s="634"/>
      <c r="C237" s="945"/>
      <c r="D237" s="946"/>
      <c r="E237" s="945"/>
      <c r="F237" s="946"/>
      <c r="G237" s="945"/>
      <c r="H237" s="946"/>
      <c r="I237" s="945"/>
      <c r="J237" s="946"/>
      <c r="K237" s="945"/>
      <c r="L237" s="948"/>
      <c r="M237" s="2"/>
    </row>
    <row r="238" spans="1:15" x14ac:dyDescent="0.35">
      <c r="B238" s="630" t="str">
        <f>B192</f>
        <v>Prix offert ($/mètre)</v>
      </c>
      <c r="C238" s="943"/>
      <c r="D238" s="944"/>
      <c r="E238" s="943"/>
      <c r="F238" s="944"/>
      <c r="G238" s="943"/>
      <c r="H238" s="944"/>
      <c r="I238" s="943"/>
      <c r="J238" s="944"/>
      <c r="K238" s="943"/>
      <c r="L238" s="947"/>
      <c r="M238" s="2"/>
    </row>
    <row r="239" spans="1:15" x14ac:dyDescent="0.35">
      <c r="B239" s="634"/>
      <c r="C239" s="945"/>
      <c r="D239" s="946"/>
      <c r="E239" s="945"/>
      <c r="F239" s="946"/>
      <c r="G239" s="945"/>
      <c r="H239" s="946"/>
      <c r="I239" s="945"/>
      <c r="J239" s="946"/>
      <c r="K239" s="945"/>
      <c r="L239" s="948"/>
      <c r="M239" s="2"/>
    </row>
    <row r="240" spans="1:15" ht="14" customHeight="1" x14ac:dyDescent="0.35">
      <c r="B240" s="958" t="str">
        <f>B194</f>
        <v>Prix de la transaction ($/mètre)</v>
      </c>
      <c r="C240" s="964"/>
      <c r="D240" s="965"/>
      <c r="E240" s="964"/>
      <c r="F240" s="965"/>
      <c r="G240" s="964"/>
      <c r="H240" s="965"/>
      <c r="I240" s="964"/>
      <c r="J240" s="965"/>
      <c r="K240" s="964"/>
      <c r="L240" s="970"/>
      <c r="M240" s="2"/>
    </row>
    <row r="241" spans="2:13" x14ac:dyDescent="0.35">
      <c r="B241" s="959"/>
      <c r="C241" s="966"/>
      <c r="D241" s="967"/>
      <c r="E241" s="966"/>
      <c r="F241" s="967"/>
      <c r="G241" s="966"/>
      <c r="H241" s="967"/>
      <c r="I241" s="966"/>
      <c r="J241" s="967"/>
      <c r="K241" s="966"/>
      <c r="L241" s="971"/>
      <c r="M241" s="2"/>
    </row>
    <row r="242" spans="2:13" x14ac:dyDescent="0.35">
      <c r="B242" s="976"/>
      <c r="C242" s="973"/>
      <c r="D242" s="974"/>
      <c r="E242" s="973"/>
      <c r="F242" s="974"/>
      <c r="G242" s="973"/>
      <c r="H242" s="974"/>
      <c r="I242" s="973"/>
      <c r="J242" s="974"/>
      <c r="K242" s="973"/>
      <c r="L242" s="975"/>
      <c r="M242" s="2"/>
    </row>
  </sheetData>
  <sheetProtection algorithmName="SHA-512" hashValue="Imz8GUmRKu0IajyhL4lNRP8Y7pk1SH4YfbXnezocwI3Kc6uuGWGhXuD6E5exCV5BIbGFNT0tdjVvpLUhqryoWw==" saltValue="+cRk7IUmIILVZ1TC+9vRwg==" spinCount="100000" sheet="1" objects="1" scenarios="1" selectLockedCells="1"/>
  <mergeCells count="336">
    <mergeCell ref="C222:D224"/>
    <mergeCell ref="E222:F224"/>
    <mergeCell ref="G222:H224"/>
    <mergeCell ref="I222:J224"/>
    <mergeCell ref="K222:L224"/>
    <mergeCell ref="B222:B224"/>
    <mergeCell ref="C240:D242"/>
    <mergeCell ref="E240:F242"/>
    <mergeCell ref="G240:H242"/>
    <mergeCell ref="I240:J242"/>
    <mergeCell ref="K240:L242"/>
    <mergeCell ref="B240:B242"/>
    <mergeCell ref="B232:B233"/>
    <mergeCell ref="C232:D233"/>
    <mergeCell ref="E232:F233"/>
    <mergeCell ref="G232:H233"/>
    <mergeCell ref="I232:J233"/>
    <mergeCell ref="K232:L233"/>
    <mergeCell ref="B238:B239"/>
    <mergeCell ref="C238:D239"/>
    <mergeCell ref="E238:F239"/>
    <mergeCell ref="G238:H239"/>
    <mergeCell ref="I238:J239"/>
    <mergeCell ref="K238:L239"/>
    <mergeCell ref="B194:B196"/>
    <mergeCell ref="C194:D196"/>
    <mergeCell ref="E194:F196"/>
    <mergeCell ref="G194:H196"/>
    <mergeCell ref="I194:J196"/>
    <mergeCell ref="K194:L196"/>
    <mergeCell ref="B176:B178"/>
    <mergeCell ref="C176:D178"/>
    <mergeCell ref="E176:F178"/>
    <mergeCell ref="G176:H178"/>
    <mergeCell ref="I176:J178"/>
    <mergeCell ref="K176:L178"/>
    <mergeCell ref="E190:F191"/>
    <mergeCell ref="G190:H191"/>
    <mergeCell ref="I190:J191"/>
    <mergeCell ref="K190:L191"/>
    <mergeCell ref="E192:F193"/>
    <mergeCell ref="G192:H193"/>
    <mergeCell ref="I192:J193"/>
    <mergeCell ref="K192:L193"/>
    <mergeCell ref="B83:C83"/>
    <mergeCell ref="B67:C67"/>
    <mergeCell ref="B68:C70"/>
    <mergeCell ref="B71:C71"/>
    <mergeCell ref="B72:C72"/>
    <mergeCell ref="B77:C77"/>
    <mergeCell ref="B78:C80"/>
    <mergeCell ref="B81:C81"/>
    <mergeCell ref="B82:C82"/>
    <mergeCell ref="B43:C43"/>
    <mergeCell ref="B63:C63"/>
    <mergeCell ref="B64:C64"/>
    <mergeCell ref="B65:C65"/>
    <mergeCell ref="B66:C66"/>
    <mergeCell ref="B73:C73"/>
    <mergeCell ref="B74:C74"/>
    <mergeCell ref="B75:C75"/>
    <mergeCell ref="B76:C76"/>
    <mergeCell ref="B57:C57"/>
    <mergeCell ref="B58:C60"/>
    <mergeCell ref="B61:C61"/>
    <mergeCell ref="B62:C62"/>
    <mergeCell ref="B44:C44"/>
    <mergeCell ref="B45:C45"/>
    <mergeCell ref="B46:C46"/>
    <mergeCell ref="B53:C53"/>
    <mergeCell ref="B54:C54"/>
    <mergeCell ref="B55:C55"/>
    <mergeCell ref="B56:C56"/>
    <mergeCell ref="C236:D237"/>
    <mergeCell ref="E236:F237"/>
    <mergeCell ref="G236:H237"/>
    <mergeCell ref="I236:J237"/>
    <mergeCell ref="K236:L237"/>
    <mergeCell ref="B218:B219"/>
    <mergeCell ref="C218:D219"/>
    <mergeCell ref="E218:F219"/>
    <mergeCell ref="G218:H219"/>
    <mergeCell ref="I218:J219"/>
    <mergeCell ref="K218:L219"/>
    <mergeCell ref="B220:B221"/>
    <mergeCell ref="C220:D221"/>
    <mergeCell ref="E220:F221"/>
    <mergeCell ref="G220:H221"/>
    <mergeCell ref="I220:J221"/>
    <mergeCell ref="K220:L221"/>
    <mergeCell ref="B236:B237"/>
    <mergeCell ref="B234:B235"/>
    <mergeCell ref="B228:B231"/>
    <mergeCell ref="B225:L225"/>
    <mergeCell ref="B226:B227"/>
    <mergeCell ref="C226:D227"/>
    <mergeCell ref="E226:F227"/>
    <mergeCell ref="B214:B215"/>
    <mergeCell ref="C214:D215"/>
    <mergeCell ref="E214:F215"/>
    <mergeCell ref="G214:H215"/>
    <mergeCell ref="I214:J215"/>
    <mergeCell ref="K214:L215"/>
    <mergeCell ref="B216:B217"/>
    <mergeCell ref="C216:D217"/>
    <mergeCell ref="E216:F217"/>
    <mergeCell ref="G216:H217"/>
    <mergeCell ref="I216:J217"/>
    <mergeCell ref="K216:L217"/>
    <mergeCell ref="I174:J175"/>
    <mergeCell ref="K174:L175"/>
    <mergeCell ref="B186:B187"/>
    <mergeCell ref="C186:D187"/>
    <mergeCell ref="E186:F187"/>
    <mergeCell ref="G186:H187"/>
    <mergeCell ref="I186:J187"/>
    <mergeCell ref="K186:L187"/>
    <mergeCell ref="C180:D181"/>
    <mergeCell ref="C182:D185"/>
    <mergeCell ref="K180:L181"/>
    <mergeCell ref="E182:F185"/>
    <mergeCell ref="G182:H185"/>
    <mergeCell ref="B168:B169"/>
    <mergeCell ref="C168:D169"/>
    <mergeCell ref="E168:F169"/>
    <mergeCell ref="G168:H169"/>
    <mergeCell ref="I168:J169"/>
    <mergeCell ref="K168:L169"/>
    <mergeCell ref="B170:B171"/>
    <mergeCell ref="C170:D171"/>
    <mergeCell ref="E170:F171"/>
    <mergeCell ref="G170:H171"/>
    <mergeCell ref="I170:J171"/>
    <mergeCell ref="K170:L171"/>
    <mergeCell ref="C172:D173"/>
    <mergeCell ref="C174:D175"/>
    <mergeCell ref="C210:D213"/>
    <mergeCell ref="E210:F213"/>
    <mergeCell ref="G210:H213"/>
    <mergeCell ref="I210:J213"/>
    <mergeCell ref="K210:L213"/>
    <mergeCell ref="C198:D198"/>
    <mergeCell ref="E198:F198"/>
    <mergeCell ref="G198:H198"/>
    <mergeCell ref="I198:J198"/>
    <mergeCell ref="K198:L198"/>
    <mergeCell ref="B209:L209"/>
    <mergeCell ref="B210:B213"/>
    <mergeCell ref="B206:B208"/>
    <mergeCell ref="B204:B205"/>
    <mergeCell ref="E204:F205"/>
    <mergeCell ref="G204:H205"/>
    <mergeCell ref="I204:J205"/>
    <mergeCell ref="B202:B203"/>
    <mergeCell ref="B200:B201"/>
    <mergeCell ref="C200:D201"/>
    <mergeCell ref="E174:F175"/>
    <mergeCell ref="G174:H175"/>
    <mergeCell ref="K204:L205"/>
    <mergeCell ref="E206:F208"/>
    <mergeCell ref="E200:F201"/>
    <mergeCell ref="G200:H201"/>
    <mergeCell ref="I200:J201"/>
    <mergeCell ref="K200:L201"/>
    <mergeCell ref="E202:F203"/>
    <mergeCell ref="G202:H203"/>
    <mergeCell ref="I202:J203"/>
    <mergeCell ref="K202:L203"/>
    <mergeCell ref="B130:L130"/>
    <mergeCell ref="E164:F167"/>
    <mergeCell ref="G164:H167"/>
    <mergeCell ref="I164:J167"/>
    <mergeCell ref="K164:L167"/>
    <mergeCell ref="C152:D152"/>
    <mergeCell ref="E152:F152"/>
    <mergeCell ref="G152:H152"/>
    <mergeCell ref="I152:J152"/>
    <mergeCell ref="K152:L152"/>
    <mergeCell ref="C154:D155"/>
    <mergeCell ref="C156:D157"/>
    <mergeCell ref="C158:D159"/>
    <mergeCell ref="E154:F155"/>
    <mergeCell ref="G154:H155"/>
    <mergeCell ref="I154:J155"/>
    <mergeCell ref="K154:L155"/>
    <mergeCell ref="E156:F157"/>
    <mergeCell ref="G156:H157"/>
    <mergeCell ref="I156:J157"/>
    <mergeCell ref="K156:L157"/>
    <mergeCell ref="E158:F159"/>
    <mergeCell ref="B154:B155"/>
    <mergeCell ref="B153:L153"/>
    <mergeCell ref="B111:C111"/>
    <mergeCell ref="B112:C112"/>
    <mergeCell ref="B117:C117"/>
    <mergeCell ref="B118:C120"/>
    <mergeCell ref="B121:C121"/>
    <mergeCell ref="B122:C122"/>
    <mergeCell ref="B127:C127"/>
    <mergeCell ref="B113:C113"/>
    <mergeCell ref="B114:C114"/>
    <mergeCell ref="B115:C115"/>
    <mergeCell ref="B116:C116"/>
    <mergeCell ref="B123:C123"/>
    <mergeCell ref="B124:C124"/>
    <mergeCell ref="B125:C125"/>
    <mergeCell ref="B126:C126"/>
    <mergeCell ref="B88:C90"/>
    <mergeCell ref="B91:C91"/>
    <mergeCell ref="B92:C92"/>
    <mergeCell ref="B97:C97"/>
    <mergeCell ref="B98:C100"/>
    <mergeCell ref="B101:C101"/>
    <mergeCell ref="B102:C102"/>
    <mergeCell ref="B107:C107"/>
    <mergeCell ref="B108:C110"/>
    <mergeCell ref="B93:C93"/>
    <mergeCell ref="B94:C94"/>
    <mergeCell ref="B95:C95"/>
    <mergeCell ref="B96:C96"/>
    <mergeCell ref="B103:C103"/>
    <mergeCell ref="B104:C104"/>
    <mergeCell ref="B105:C105"/>
    <mergeCell ref="B106:C106"/>
    <mergeCell ref="G226:H227"/>
    <mergeCell ref="I226:J227"/>
    <mergeCell ref="K226:L227"/>
    <mergeCell ref="C228:D231"/>
    <mergeCell ref="E228:F231"/>
    <mergeCell ref="G228:H231"/>
    <mergeCell ref="I228:J231"/>
    <mergeCell ref="K228:L231"/>
    <mergeCell ref="C234:D235"/>
    <mergeCell ref="E234:F235"/>
    <mergeCell ref="G234:H235"/>
    <mergeCell ref="I234:J235"/>
    <mergeCell ref="K234:L235"/>
    <mergeCell ref="C202:D203"/>
    <mergeCell ref="C204:D205"/>
    <mergeCell ref="C206:D208"/>
    <mergeCell ref="B192:B193"/>
    <mergeCell ref="B199:L199"/>
    <mergeCell ref="B164:B167"/>
    <mergeCell ref="B190:B191"/>
    <mergeCell ref="B160:B162"/>
    <mergeCell ref="B163:L163"/>
    <mergeCell ref="E160:F162"/>
    <mergeCell ref="G160:H162"/>
    <mergeCell ref="I160:J162"/>
    <mergeCell ref="K160:L162"/>
    <mergeCell ref="C164:D167"/>
    <mergeCell ref="C160:D162"/>
    <mergeCell ref="C192:D193"/>
    <mergeCell ref="C188:D189"/>
    <mergeCell ref="C190:D191"/>
    <mergeCell ref="E180:F181"/>
    <mergeCell ref="G180:H181"/>
    <mergeCell ref="I180:J181"/>
    <mergeCell ref="G206:H208"/>
    <mergeCell ref="I206:J208"/>
    <mergeCell ref="K206:L208"/>
    <mergeCell ref="B156:B157"/>
    <mergeCell ref="B158:B159"/>
    <mergeCell ref="B188:B189"/>
    <mergeCell ref="B180:B181"/>
    <mergeCell ref="B182:B185"/>
    <mergeCell ref="B179:L179"/>
    <mergeCell ref="B142:L142"/>
    <mergeCell ref="B147:L150"/>
    <mergeCell ref="B143:L145"/>
    <mergeCell ref="I158:J159"/>
    <mergeCell ref="K158:L159"/>
    <mergeCell ref="G158:H159"/>
    <mergeCell ref="I182:J185"/>
    <mergeCell ref="K182:L185"/>
    <mergeCell ref="E188:F189"/>
    <mergeCell ref="G188:H189"/>
    <mergeCell ref="I188:J189"/>
    <mergeCell ref="K188:L189"/>
    <mergeCell ref="E172:F173"/>
    <mergeCell ref="G172:H173"/>
    <mergeCell ref="I172:J173"/>
    <mergeCell ref="K172:L173"/>
    <mergeCell ref="B172:B173"/>
    <mergeCell ref="B174:B175"/>
    <mergeCell ref="D68:L77"/>
    <mergeCell ref="D78:L87"/>
    <mergeCell ref="D88:L97"/>
    <mergeCell ref="D38:L47"/>
    <mergeCell ref="D48:L57"/>
    <mergeCell ref="D58:L67"/>
    <mergeCell ref="B132:L134"/>
    <mergeCell ref="B136:L137"/>
    <mergeCell ref="B139:L140"/>
    <mergeCell ref="D98:L107"/>
    <mergeCell ref="D108:L117"/>
    <mergeCell ref="D118:L127"/>
    <mergeCell ref="B129:L129"/>
    <mergeCell ref="B38:C40"/>
    <mergeCell ref="B41:C41"/>
    <mergeCell ref="B87:C87"/>
    <mergeCell ref="B84:C84"/>
    <mergeCell ref="B85:C85"/>
    <mergeCell ref="B86:C86"/>
    <mergeCell ref="B42:C42"/>
    <mergeCell ref="B47:C47"/>
    <mergeCell ref="B48:C50"/>
    <mergeCell ref="B51:C51"/>
    <mergeCell ref="B52:C52"/>
    <mergeCell ref="B4:L4"/>
    <mergeCell ref="B5:L5"/>
    <mergeCell ref="B6:L6"/>
    <mergeCell ref="B8:L8"/>
    <mergeCell ref="B9:L9"/>
    <mergeCell ref="B10:L10"/>
    <mergeCell ref="B12:L12"/>
    <mergeCell ref="B15:L16"/>
    <mergeCell ref="D18:L27"/>
    <mergeCell ref="B23:C23"/>
    <mergeCell ref="B24:C24"/>
    <mergeCell ref="B25:C25"/>
    <mergeCell ref="B26:C26"/>
    <mergeCell ref="D28:L37"/>
    <mergeCell ref="B13:L13"/>
    <mergeCell ref="B18:C20"/>
    <mergeCell ref="B21:C21"/>
    <mergeCell ref="B22:C22"/>
    <mergeCell ref="B27:C27"/>
    <mergeCell ref="B28:C30"/>
    <mergeCell ref="B31:C31"/>
    <mergeCell ref="B32:C32"/>
    <mergeCell ref="B37:C37"/>
    <mergeCell ref="B33:C33"/>
    <mergeCell ref="B34:C34"/>
    <mergeCell ref="B35:C35"/>
    <mergeCell ref="B36:C36"/>
  </mergeCells>
  <dataValidations count="2">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118 D18 D28 D38 D48 D58 D68 D78 D88 D98 D108" xr:uid="{3F69375E-B278-4A96-A079-4E06286DBEE7}">
      <formula1>1000</formula1>
    </dataValidation>
    <dataValidation allowBlank="1" showInputMessage="1" showErrorMessage="1" sqref="K194 C200:L208 I176 C180:C194 D180:L193 E194 G194 I194 K176 C176 E176 G176 C226:L242 C164:L175 C210:L224" xr:uid="{5F5543A0-E1FD-4ABD-99D9-82E02B5E37B5}"/>
  </dataValidations>
  <printOptions horizontalCentered="1"/>
  <pageMargins left="0.25" right="0.25" top="0.75" bottom="0.75" header="0.3" footer="0.3"/>
  <pageSetup scale="63" fitToHeight="0" orientation="portrait" r:id="rId1"/>
  <headerFooter>
    <oddFooter>&amp;L&amp;A</oddFooter>
  </headerFooter>
  <rowBreaks count="4" manualBreakCount="4">
    <brk id="57" min="1" max="11" man="1"/>
    <brk id="107" min="1" max="11" man="1"/>
    <brk id="151" min="1" max="11" man="1"/>
    <brk id="197"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086DB7-2D84-400A-92C5-AB46690FFBF9}">
          <x14:formula1>
            <xm:f>Variables!$D$54:$D$55</xm:f>
          </x14:formula1>
          <xm:sqref>B112 B122 B22 B32 B42 B52 B62 B72 B82 B92 B102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Variables</vt:lpstr>
      <vt:lpstr>Intro</vt:lpstr>
      <vt:lpstr>Info</vt:lpstr>
      <vt:lpstr>Public</vt:lpstr>
      <vt:lpstr>AddPub</vt:lpstr>
      <vt:lpstr>Pro 1</vt:lpstr>
      <vt:lpstr>Pro 2</vt:lpstr>
      <vt:lpstr>Pro 3</vt:lpstr>
      <vt:lpstr>Pro 4</vt:lpstr>
      <vt:lpstr>AddPro</vt:lpstr>
      <vt:lpstr>Confirm</vt:lpstr>
      <vt:lpstr>DB</vt:lpstr>
      <vt:lpstr>DBPerformance</vt:lpstr>
      <vt:lpstr>DBOtherPerf</vt:lpstr>
      <vt:lpstr>DBAvgCost</vt:lpstr>
      <vt:lpstr>DBNegative</vt:lpstr>
      <vt:lpstr>DBBenchmark</vt:lpstr>
      <vt:lpstr>DBRegional</vt:lpstr>
      <vt:lpstr>DBTopAcct</vt:lpstr>
      <vt:lpstr>DataTab</vt:lpstr>
      <vt:lpstr>AddPro!Print_Area</vt:lpstr>
      <vt:lpstr>AddPub!Print_Area</vt:lpstr>
      <vt:lpstr>Confirm!Print_Area</vt:lpstr>
      <vt:lpstr>Info!Print_Area</vt:lpstr>
      <vt:lpstr>Intro!Print_Area</vt:lpstr>
      <vt:lpstr>'Pro 1'!Print_Area</vt:lpstr>
      <vt:lpstr>'Pro 2'!Print_Area</vt:lpstr>
      <vt:lpstr>'Pro 3'!Print_Area</vt:lpstr>
      <vt:lpstr>'Pro 4'!Print_Area</vt:lpstr>
      <vt:lpstr>Public!Print_Area</vt:lpstr>
      <vt:lpstr>AddPro!Print_Titles</vt:lpstr>
      <vt:lpstr>AddPub!Print_Titles</vt:lpstr>
      <vt:lpstr>Confirm!Print_Titles</vt:lpstr>
      <vt:lpstr>Info!Print_Titles</vt:lpstr>
      <vt:lpstr>Intro!Print_Titles</vt:lpstr>
      <vt:lpstr>'Pro 1'!Print_Titles</vt:lpstr>
      <vt:lpstr>'Pro 2'!Print_Titles</vt:lpstr>
      <vt:lpstr>'Pro 3'!Print_Titles</vt:lpstr>
      <vt:lpstr>'Pro 4'!Print_Titles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Paula Place</cp:lastModifiedBy>
  <cp:lastPrinted>2026-07-27T23:57:03Z</cp:lastPrinted>
  <dcterms:created xsi:type="dcterms:W3CDTF">2023-04-17T11:18:56Z</dcterms:created>
  <dcterms:modified xsi:type="dcterms:W3CDTF">2026-07-29T15:33:48Z</dcterms:modified>
</cp:coreProperties>
</file>